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omments1.xml" ContentType="application/vnd.openxmlformats-officedocument.spreadsheetml.comments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https://svenskidrott.sharepoint.com/sites/Flygsport-styrelsen/Delade dokument/General/2020/2020-06-08/"/>
    </mc:Choice>
  </mc:AlternateContent>
  <xr:revisionPtr revIDLastSave="24" documentId="8_{F2497B6D-D21A-40A5-BDA7-C77AA3730D34}" xr6:coauthVersionLast="45" xr6:coauthVersionMax="45" xr10:uidLastSave="{AB112C48-6638-459C-ADF8-19384D9CAE72}"/>
  <bookViews>
    <workbookView xWindow="16995" yWindow="165" windowWidth="13530" windowHeight="13800" firstSheet="1" activeTab="1" xr2:uid="{00000000-000D-0000-FFFF-FFFF00000000}"/>
  </bookViews>
  <sheets>
    <sheet name="Blad1" sheetId="1" state="hidden" r:id="rId1"/>
    <sheet name="2020" sheetId="3" r:id="rId2"/>
    <sheet name="Personalkostnader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7" i="3" l="1"/>
  <c r="N68" i="3" l="1"/>
  <c r="N40" i="3"/>
  <c r="N39" i="3"/>
  <c r="N64" i="3" s="1"/>
  <c r="N38" i="3"/>
  <c r="N35" i="3"/>
  <c r="M14" i="3"/>
  <c r="M70" i="3" s="1"/>
  <c r="L68" i="3"/>
  <c r="L64" i="3"/>
  <c r="L35" i="3"/>
  <c r="K14" i="3"/>
  <c r="K70" i="3" s="1"/>
  <c r="L70" i="3" l="1"/>
  <c r="L71" i="3" s="1"/>
  <c r="N70" i="3"/>
  <c r="N71" i="3" s="1"/>
  <c r="C61" i="3"/>
  <c r="C60" i="3"/>
  <c r="C40" i="3" l="1"/>
  <c r="C39" i="3"/>
  <c r="C38" i="3"/>
  <c r="F14" i="3" l="1"/>
  <c r="H14" i="3"/>
  <c r="F17" i="3"/>
  <c r="H17" i="3"/>
  <c r="G35" i="3"/>
  <c r="I47" i="3"/>
  <c r="I49" i="3"/>
  <c r="I54" i="3"/>
  <c r="I55" i="3"/>
  <c r="I58" i="3"/>
  <c r="G64" i="3"/>
  <c r="G67" i="3"/>
  <c r="G68" i="3" s="1"/>
  <c r="I67" i="3"/>
  <c r="I68" i="3" s="1"/>
  <c r="H70" i="3" l="1"/>
  <c r="G70" i="3"/>
  <c r="I64" i="3"/>
  <c r="F70" i="3"/>
  <c r="G71" i="3" s="1"/>
  <c r="I35" i="3"/>
  <c r="E68" i="3"/>
  <c r="E35" i="3"/>
  <c r="E89" i="3"/>
  <c r="D89" i="3"/>
  <c r="C89" i="3"/>
  <c r="B89" i="3"/>
  <c r="I70" i="3" l="1"/>
  <c r="I71" i="3" s="1"/>
  <c r="B90" i="3"/>
  <c r="D90" i="3"/>
  <c r="E83" i="3" l="1"/>
  <c r="D83" i="3"/>
  <c r="C83" i="3"/>
  <c r="B83" i="3"/>
  <c r="E92" i="3"/>
  <c r="E93" i="3" s="1"/>
  <c r="D96" i="3"/>
  <c r="C96" i="3"/>
  <c r="B96" i="3"/>
  <c r="B97" i="3" l="1"/>
  <c r="D84" i="3"/>
  <c r="B84" i="3"/>
  <c r="C101" i="3"/>
  <c r="B101" i="3"/>
  <c r="E109" i="3"/>
  <c r="D109" i="3"/>
  <c r="C109" i="3"/>
  <c r="B109" i="3"/>
  <c r="D110" i="3" l="1"/>
  <c r="B102" i="3"/>
  <c r="E96" i="3"/>
  <c r="D97" i="3" s="1"/>
  <c r="B110" i="3"/>
  <c r="N24" i="4"/>
  <c r="N25" i="4"/>
  <c r="N26" i="4"/>
  <c r="N27" i="4"/>
  <c r="N28" i="4"/>
  <c r="N29" i="4"/>
  <c r="N30" i="4"/>
  <c r="N31" i="4"/>
  <c r="N32" i="4"/>
  <c r="G26" i="4"/>
  <c r="B32" i="4"/>
  <c r="C32" i="4"/>
  <c r="D32" i="4"/>
  <c r="E32" i="4"/>
  <c r="F32" i="4"/>
  <c r="G32" i="4"/>
  <c r="H32" i="4"/>
  <c r="I32" i="4"/>
  <c r="J32" i="4"/>
  <c r="K32" i="4"/>
  <c r="L32" i="4"/>
  <c r="M32" i="4"/>
  <c r="N13" i="4"/>
  <c r="N14" i="4"/>
  <c r="N15" i="4"/>
  <c r="N16" i="4"/>
  <c r="N17" i="4"/>
  <c r="N18" i="4"/>
  <c r="N19" i="4"/>
  <c r="N20" i="4"/>
  <c r="M21" i="4"/>
  <c r="L21" i="4"/>
  <c r="K21" i="4"/>
  <c r="J21" i="4"/>
  <c r="I21" i="4"/>
  <c r="H21" i="4"/>
  <c r="F21" i="4"/>
  <c r="E21" i="4"/>
  <c r="D21" i="4"/>
  <c r="C21" i="4"/>
  <c r="B21" i="4"/>
  <c r="G15" i="4"/>
  <c r="G21" i="4" s="1"/>
  <c r="M10" i="4"/>
  <c r="L10" i="4"/>
  <c r="K10" i="4"/>
  <c r="J10" i="4"/>
  <c r="I10" i="4"/>
  <c r="H10" i="4"/>
  <c r="F10" i="4"/>
  <c r="E10" i="4"/>
  <c r="D10" i="4"/>
  <c r="C10" i="4"/>
  <c r="B10" i="4"/>
  <c r="G4" i="4"/>
  <c r="G10" i="4" s="1"/>
  <c r="N10" i="4" s="1"/>
  <c r="N5" i="4"/>
  <c r="N2" i="4"/>
  <c r="N3" i="4"/>
  <c r="N4" i="4"/>
  <c r="N6" i="4"/>
  <c r="N7" i="4"/>
  <c r="N8" i="4"/>
  <c r="N9" i="4"/>
  <c r="P15" i="4" l="1"/>
  <c r="P18" i="4"/>
  <c r="P14" i="4"/>
  <c r="P13" i="4"/>
  <c r="P19" i="4"/>
  <c r="P17" i="4"/>
  <c r="P20" i="4"/>
  <c r="P16" i="4"/>
  <c r="E97" i="3"/>
  <c r="N21" i="4"/>
  <c r="E40" i="3"/>
  <c r="E39" i="3"/>
  <c r="D17" i="3"/>
  <c r="D14" i="3"/>
  <c r="C35" i="3"/>
  <c r="B17" i="3"/>
  <c r="B14" i="3"/>
  <c r="D70" i="3" l="1"/>
  <c r="P21" i="4"/>
  <c r="N35" i="4" s="1"/>
  <c r="O35" i="4" s="1"/>
  <c r="S21" i="4"/>
  <c r="C64" i="3"/>
  <c r="E38" i="3"/>
  <c r="E64" i="3" s="1"/>
  <c r="B70" i="3"/>
  <c r="C68" i="3" l="1"/>
  <c r="C70" i="3" l="1"/>
  <c r="C71" i="3" s="1"/>
  <c r="E70" i="3"/>
  <c r="E71" i="3" s="1"/>
  <c r="XFC67" i="3" l="1"/>
  <c r="O97" i="1" l="1"/>
  <c r="J79" i="1" l="1"/>
  <c r="J78" i="1"/>
  <c r="N98" i="1" l="1"/>
  <c r="Q80" i="1"/>
  <c r="O80" i="1"/>
  <c r="O75" i="1" l="1"/>
  <c r="O39" i="1"/>
  <c r="N85" i="1" l="1"/>
  <c r="H24" i="1"/>
  <c r="H85" i="1"/>
  <c r="L75" i="1"/>
  <c r="K24" i="1"/>
  <c r="L17" i="1"/>
  <c r="I17" i="1"/>
  <c r="I39" i="1"/>
  <c r="H86" i="1" l="1"/>
  <c r="O17" i="1"/>
  <c r="N24" i="1" s="1"/>
  <c r="N86" i="1" s="1"/>
  <c r="N94" i="1" s="1"/>
  <c r="N99" i="1" s="1"/>
  <c r="L39" i="1"/>
  <c r="K85" i="1" s="1"/>
  <c r="K86" i="1" s="1"/>
  <c r="I7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Kjell Folkesson</author>
  </authors>
  <commentList>
    <comment ref="A60" authorId="0" shapeId="0" xr:uid="{934A981D-A90A-49AE-AFA1-721ADD51CA4E}">
      <text>
        <r>
          <rPr>
            <b/>
            <sz val="9"/>
            <color indexed="81"/>
            <rFont val="Tahoma"/>
            <family val="2"/>
          </rPr>
          <t>Kjell Folkesson:</t>
        </r>
        <r>
          <rPr>
            <sz val="9"/>
            <color indexed="81"/>
            <rFont val="Tahoma"/>
            <family val="2"/>
          </rPr>
          <t xml:space="preserve">
Medlemsavgift FAI är 33 660 CHF  1 CHF= 9,85 kr</t>
        </r>
      </text>
    </comment>
    <comment ref="A61" authorId="0" shapeId="0" xr:uid="{AF7DBB78-9F01-4A26-A630-34B36EDD2EAA}">
      <text>
        <r>
          <rPr>
            <b/>
            <sz val="9"/>
            <color indexed="81"/>
            <rFont val="Tahoma"/>
            <family val="2"/>
          </rPr>
          <t>Kjell Folkesson:</t>
        </r>
        <r>
          <rPr>
            <sz val="9"/>
            <color indexed="81"/>
            <rFont val="Tahoma"/>
            <family val="2"/>
          </rPr>
          <t xml:space="preserve">
Medlemsavgift EAS är 8 000 €  1 €=10,50 kr </t>
        </r>
      </text>
    </comment>
  </commentList>
</comments>
</file>

<file path=xl/sharedStrings.xml><?xml version="1.0" encoding="utf-8"?>
<sst xmlns="http://schemas.openxmlformats.org/spreadsheetml/2006/main" count="435" uniqueCount="235">
  <si>
    <t>SVENSKA FLYGSPORTFÖRBUNDET 802014-7164</t>
  </si>
  <si>
    <t>Sida 1  (1)</t>
  </si>
  <si>
    <t>Vald period: Hela räkenskapsåret</t>
  </si>
  <si>
    <t>Räkenskapsår: 2018-01-01 - 2018-12-31</t>
  </si>
  <si>
    <t>Senaste ver.nr: A182, B110, I4, K16, L131</t>
  </si>
  <si>
    <t>Perioden</t>
  </si>
  <si>
    <t>Budget</t>
  </si>
  <si>
    <t>Intäkter</t>
  </si>
  <si>
    <t>Nettoomsättning</t>
  </si>
  <si>
    <t>RF bidrag</t>
  </si>
  <si>
    <t>Idrottslyftet</t>
  </si>
  <si>
    <t>Landslagsmedel RF</t>
  </si>
  <si>
    <t>Sponsorintäkter</t>
  </si>
  <si>
    <t>FAI Licenser</t>
  </si>
  <si>
    <t>Årsavgifter och reg avg</t>
  </si>
  <si>
    <t>Administrativa intäkter</t>
  </si>
  <si>
    <t>S:a Nettoomsättning</t>
  </si>
  <si>
    <t>Medlemsavgifter</t>
  </si>
  <si>
    <t>Medlemsavgifter(reg avg.)</t>
  </si>
  <si>
    <t>S:a Medlemsavgifter</t>
  </si>
  <si>
    <t>S:a Intäkter</t>
  </si>
  <si>
    <t>Kostnader</t>
  </si>
  <si>
    <t>Föreningskostnader</t>
  </si>
  <si>
    <t>SDF-Bidrag</t>
  </si>
  <si>
    <t>Bidrag Grenförbund</t>
  </si>
  <si>
    <t>Landslagsbidrag</t>
  </si>
  <si>
    <t>Elitbidrag och avsatta elitbidrag</t>
  </si>
  <si>
    <t>Utvecklingsbidrag - Idrottslyftet</t>
  </si>
  <si>
    <t>Idrottslyftet - Luftrum</t>
  </si>
  <si>
    <t>Återbet idrottslyft</t>
  </si>
  <si>
    <t>Idrottskläder</t>
  </si>
  <si>
    <t>Förbundsmateriel</t>
  </si>
  <si>
    <t>Priser, medaljer</t>
  </si>
  <si>
    <t>S:a Föreningskostnader</t>
  </si>
  <si>
    <t>Övriga externa kostnader</t>
  </si>
  <si>
    <t>Lokalhyra</t>
  </si>
  <si>
    <t>Förbrukningsinventarier</t>
  </si>
  <si>
    <t>Dataprogram</t>
  </si>
  <si>
    <t>Resor, kost och logi</t>
  </si>
  <si>
    <t>Resor, kort och logi Idrottslyftet</t>
  </si>
  <si>
    <t>Resor, kost och logi Elitgruppen</t>
  </si>
  <si>
    <t>Resor, kost och logi Idrottsgalan</t>
  </si>
  <si>
    <t>Övriga reklam- PR-kostnader</t>
  </si>
  <si>
    <t>Övriga Förbundskostnader</t>
  </si>
  <si>
    <t>Kontorsmaterial</t>
  </si>
  <si>
    <t>Trycksaker</t>
  </si>
  <si>
    <t>Telekommunikation</t>
  </si>
  <si>
    <t>Datakommunikation</t>
  </si>
  <si>
    <t>Postbefordran</t>
  </si>
  <si>
    <t>Försäkringar</t>
  </si>
  <si>
    <t>Styrelsearvoden</t>
  </si>
  <si>
    <t>Revisionsarvoden</t>
  </si>
  <si>
    <t>Redovisningstjänster</t>
  </si>
  <si>
    <t>IT-tjänster</t>
  </si>
  <si>
    <t>Konsultarvode Kansli</t>
  </si>
  <si>
    <t>Arvode förlorad a-ink</t>
  </si>
  <si>
    <t>Lobby verksamhet</t>
  </si>
  <si>
    <t>Bankkostnader</t>
  </si>
  <si>
    <t>Medlemsavgifter FAI &amp; EAS</t>
  </si>
  <si>
    <t>Föreningsavgifter</t>
  </si>
  <si>
    <t>S:a Övriga externa kostnader</t>
  </si>
  <si>
    <t>Övriga kostnader</t>
  </si>
  <si>
    <t>Kostnader av engångskaraktär</t>
  </si>
  <si>
    <t>S:a Övriga kostnader</t>
  </si>
  <si>
    <t>S:a Kostnader</t>
  </si>
  <si>
    <t>Finansiella investeringar</t>
  </si>
  <si>
    <t>Räntekostnader och liknande poster</t>
  </si>
  <si>
    <t>Övriga finansiella kostnader</t>
  </si>
  <si>
    <t>S:a Räntekostnader och liknande poster</t>
  </si>
  <si>
    <t>S:a Finansiella investeringar</t>
  </si>
  <si>
    <t>Resultat efter finansiella poster</t>
  </si>
  <si>
    <t>Resultat före bokslutsdispositioner och skatt</t>
  </si>
  <si>
    <t>Beräknat resultat:</t>
  </si>
  <si>
    <t>helår</t>
  </si>
  <si>
    <t>Resultat 2018</t>
  </si>
  <si>
    <t>Florman 30´Haveriutr 30</t>
  </si>
  <si>
    <t>Sv Spel,  för exponering</t>
  </si>
  <si>
    <t>adm häng ballong</t>
  </si>
  <si>
    <t>Sv spel, exponering</t>
  </si>
  <si>
    <t>fördelas 4040,4041,5802,5803</t>
  </si>
  <si>
    <t>från 3011</t>
  </si>
  <si>
    <t>ej utnyttjad bidrag!</t>
  </si>
  <si>
    <t>lagerminskning +nedskrivn</t>
  </si>
  <si>
    <t>gravyrkostnad</t>
  </si>
  <si>
    <t>dubbel hyra under hösten</t>
  </si>
  <si>
    <t>Bosön</t>
  </si>
  <si>
    <t>Utbildningsplattform</t>
  </si>
  <si>
    <t>SWEMO</t>
  </si>
  <si>
    <t>Card Skipper Licens i mobil</t>
  </si>
  <si>
    <t>också möte m.int. delegater</t>
  </si>
  <si>
    <t>Verksamhetens resultat före finansiella intäkter och kostnader</t>
  </si>
  <si>
    <t>Förrådshyra</t>
  </si>
  <si>
    <t>Personalkostnader</t>
  </si>
  <si>
    <t>Löner</t>
  </si>
  <si>
    <t>S:a personalkostnader</t>
  </si>
  <si>
    <t>SocAvg Lagstadgade</t>
  </si>
  <si>
    <t>Övriga föreningsintäkter</t>
  </si>
  <si>
    <t>Övriga intäkter</t>
  </si>
  <si>
    <t>S:a övriga föreningsintäkter</t>
  </si>
  <si>
    <t>Övriga lokalkostnader</t>
  </si>
  <si>
    <t>Elit</t>
  </si>
  <si>
    <t>Bredd</t>
  </si>
  <si>
    <t>Kansli</t>
  </si>
  <si>
    <t>Medlemsavgift</t>
  </si>
  <si>
    <t>Distrikt</t>
  </si>
  <si>
    <t>Grenar</t>
  </si>
  <si>
    <t>Bidrag</t>
  </si>
  <si>
    <t>Flaggor</t>
  </si>
  <si>
    <t>Medaljer</t>
  </si>
  <si>
    <t>Demokrati</t>
  </si>
  <si>
    <t>Resor, kost och logi Internationellt arbete   FAI</t>
  </si>
  <si>
    <t>Resor, kost och logi Luftrumsgruppen   Bredd</t>
  </si>
  <si>
    <t>Cloudtjänst</t>
  </si>
  <si>
    <t>Tidningar, tidskrifter och facklitteratur    Kansli</t>
  </si>
  <si>
    <t>Fotnot:</t>
  </si>
  <si>
    <t>Utnyttjade medel Idrotsslyftet</t>
  </si>
  <si>
    <t>allt</t>
  </si>
  <si>
    <t>Henry Lindholm 2018-11-30</t>
  </si>
  <si>
    <t>Ver. 7</t>
  </si>
  <si>
    <t>Antidoping Dopingtester</t>
  </si>
  <si>
    <t>Föreningsbidrag</t>
  </si>
  <si>
    <t>Resultat Totalt</t>
  </si>
  <si>
    <t>Summa</t>
  </si>
  <si>
    <t>S:a Utgiftsposter utan klar hemvist</t>
  </si>
  <si>
    <t>Återkrav potentiellt</t>
  </si>
  <si>
    <t>S:a</t>
  </si>
  <si>
    <t>Sponsorkostnader Svenska Spel</t>
  </si>
  <si>
    <t>Avskrivningsnivå landslagskläder</t>
  </si>
  <si>
    <t>Kostar ca 800 kr guld plus gravyr 150 spänn</t>
  </si>
  <si>
    <t>Städkostnad ca 1000 kr/mån</t>
  </si>
  <si>
    <t>Höj avgiften till hängflyg till 30 tkr</t>
  </si>
  <si>
    <t>moms också</t>
  </si>
  <si>
    <t>Arvoden idrottslyftet</t>
  </si>
  <si>
    <t>Helår</t>
  </si>
  <si>
    <t>Helårsresultat och förslag till budget 2019</t>
  </si>
  <si>
    <t>Tidningar, tidskrifter och facklitteratur</t>
  </si>
  <si>
    <t>Antidoping</t>
  </si>
  <si>
    <t>Totalsumma</t>
  </si>
  <si>
    <t>Kolumn1</t>
  </si>
  <si>
    <t>Budget2020</t>
  </si>
  <si>
    <t>RF organisationsstöd</t>
  </si>
  <si>
    <t>Budget 2021</t>
  </si>
  <si>
    <t>RF Verksamhetsstöd barn &amp; ungdom</t>
  </si>
  <si>
    <t xml:space="preserve">RF Verksamhetsstöd Landslagsmedel </t>
  </si>
  <si>
    <t>RF Verksamhetsstöd Vuxenidrott</t>
  </si>
  <si>
    <t>RF Projektstöd internationellt utvecklingsstöd</t>
  </si>
  <si>
    <t>RF Projektstöd verksamhetsinriktning demokrati</t>
  </si>
  <si>
    <t>Elit/landslag</t>
  </si>
  <si>
    <t>Barn &amp; ungdom</t>
  </si>
  <si>
    <t>Landslagsstöd</t>
  </si>
  <si>
    <t>Vuxenidrott</t>
  </si>
  <si>
    <t>Internationellt utvecklingsstöd</t>
  </si>
  <si>
    <t>Projekt demokrati och digitalisering</t>
  </si>
  <si>
    <t>Kolumn2</t>
  </si>
  <si>
    <t>Kolumn3</t>
  </si>
  <si>
    <t>Kolumn5</t>
  </si>
  <si>
    <t>Kolumn6</t>
  </si>
  <si>
    <t>Kolumn7</t>
  </si>
  <si>
    <t>Kolumn8</t>
  </si>
  <si>
    <t>Kolumn9</t>
  </si>
  <si>
    <t>Intäkter B20</t>
  </si>
  <si>
    <t>Kostnader B20</t>
  </si>
  <si>
    <t>IntäkterB21</t>
  </si>
  <si>
    <t>KostnaderB21</t>
  </si>
  <si>
    <t>Utfall 2019 nov</t>
  </si>
  <si>
    <t>Intäkter utfall 2019</t>
  </si>
  <si>
    <t>Kostnader utfall 2019</t>
  </si>
  <si>
    <t>Prognos 2019</t>
  </si>
  <si>
    <t>Intäkter p19</t>
  </si>
  <si>
    <t>Kostnader p19</t>
  </si>
  <si>
    <t>Kommentarer</t>
  </si>
  <si>
    <t>Projektpengar GF/SDF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</si>
  <si>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</si>
  <si>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</si>
  <si>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</si>
  <si>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</si>
  <si>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</si>
  <si>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</si>
  <si>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</si>
  <si>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</si>
  <si>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</si>
  <si>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</si>
  <si>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</si>
  <si>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</si>
  <si>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Collectum</t>
  </si>
  <si>
    <t>ITP2+TGL, ITPK</t>
  </si>
  <si>
    <t>Årstotal</t>
  </si>
  <si>
    <t>Fora</t>
  </si>
  <si>
    <t>AGS, FPT, TGL, TFA, Avtalspension, Trygghetsrådet</t>
  </si>
  <si>
    <t>Lön</t>
  </si>
  <si>
    <t>Skatt och rbetsgivaravgifter</t>
  </si>
  <si>
    <t>Semester och löneskuld</t>
  </si>
  <si>
    <t>Förändring av semester löneskuld</t>
  </si>
  <si>
    <t>Semesterlöner till tjänstemän</t>
  </si>
  <si>
    <t>Socialaavgifter</t>
  </si>
  <si>
    <t>Totalt</t>
  </si>
  <si>
    <t>2019</t>
  </si>
  <si>
    <t>2020 GS</t>
  </si>
  <si>
    <t>adderat 2,5%</t>
  </si>
  <si>
    <t xml:space="preserve">2020 Projektledning E-sport 26tkr i månadslön 20 % </t>
  </si>
  <si>
    <t>Reducerat till 55 % av lön och 20 % tid</t>
  </si>
  <si>
    <t>Del till digitaliseringsprojektet</t>
  </si>
  <si>
    <t>Digitaliseringsprojektet</t>
  </si>
  <si>
    <t>Projektledarkostnader</t>
  </si>
  <si>
    <t>Kvar till ERFA möten</t>
  </si>
  <si>
    <t>Arvoden ERFA deltagare</t>
  </si>
  <si>
    <t>Vinst/förlust</t>
  </si>
  <si>
    <t>Organisationsutredning Reach Potential</t>
  </si>
  <si>
    <t>GF/SDF projekt</t>
  </si>
  <si>
    <t>Resor, kost och logi strategihelg</t>
  </si>
  <si>
    <t>Stipendier</t>
  </si>
  <si>
    <t>Landslagen</t>
  </si>
  <si>
    <t>Resor, kost och logi inkl parasportarbetsgrupp</t>
  </si>
  <si>
    <t>Rekryteringskampanj/utbmaterial</t>
  </si>
  <si>
    <t>Föreningsbidrag - rekrytering ungdom och kvinnor</t>
  </si>
  <si>
    <t>2021 lön</t>
  </si>
  <si>
    <t>Få fler föreningar att erbjuda verksamhet för paraflygsport - para arbetsgruppen resor, kost och logi</t>
  </si>
  <si>
    <t>Luftrum och arenadatabas</t>
  </si>
  <si>
    <t>Resor, kost och logi barn och ungdom</t>
  </si>
  <si>
    <t>Resor, kost och logi inkl elit och tränarträff</t>
  </si>
  <si>
    <t>Resor, kost och logi Projekt demokrati och digitalisering</t>
  </si>
  <si>
    <t>Arvoden barn &amp; ungdomsverksamhet och demokrati och digitalisering (inkl Rp)</t>
  </si>
  <si>
    <t>Miljöarbete</t>
  </si>
  <si>
    <t>Budget  2020</t>
  </si>
  <si>
    <t>Medlemsavgifter FAI 33 660 CHF</t>
  </si>
  <si>
    <t>Medlemsavgifter  EAS 8 000 €</t>
  </si>
  <si>
    <t xml:space="preserve">Evenemang (SM-veckan m.m.) </t>
  </si>
  <si>
    <t>Demokrati och digitalisering</t>
  </si>
  <si>
    <t>Prognos helår</t>
  </si>
  <si>
    <t>Intäkter U</t>
  </si>
  <si>
    <t>Kostnader U</t>
  </si>
  <si>
    <t>Intäkter P</t>
  </si>
  <si>
    <t>Kostnader P</t>
  </si>
  <si>
    <t>Reachpotential orgutredning</t>
  </si>
  <si>
    <t>Utfall maj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</si>
</sst>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4" tint="-0.499984740745262"/>
        <bgColor theme="8"/>
      </patternFill>
    </fill>
    <fill>
      <patternFill patternType="solid">
        <fgColor theme="9" tint="-0.499984740745262"/>
        <bgColor theme="8"/>
      </patternFill>
    </fill>
    <fill>
      <patternFill patternType="solid">
        <fgColor theme="0" tint="-0.14999847407452621"/>
        <bgColor theme="8" tint="0.79998168889431442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NumberFormat="1"/>
    <xf numFmtId="0" fontId="2" fillId="0" borderId="0" xfId="0" applyFont="1"/>
    <xf numFmtId="0" fontId="1" fillId="0" borderId="0" xfId="0" applyFont="1"/>
    <xf numFmtId="0" fontId="0" fillId="2" borderId="0" xfId="0" applyFill="1"/>
    <xf numFmtId="0" fontId="0" fillId="0" borderId="2" xfId="0" applyBorder="1"/>
    <xf numFmtId="0" fontId="0" fillId="0" borderId="0" xfId="0" applyBorder="1"/>
    <xf numFmtId="0" fontId="0" fillId="0" borderId="6" xfId="0" applyBorder="1"/>
    <xf numFmtId="0" fontId="0" fillId="0" borderId="0" xfId="0" applyFont="1"/>
    <xf numFmtId="0" fontId="3" fillId="0" borderId="0" xfId="0" applyFont="1"/>
    <xf numFmtId="0" fontId="4" fillId="0" borderId="4" xfId="0" applyFont="1" applyBorder="1"/>
    <xf numFmtId="0" fontId="4" fillId="0" borderId="0" xfId="0" applyFont="1" applyBorder="1"/>
    <xf numFmtId="0" fontId="0" fillId="0" borderId="0" xfId="0" applyFont="1" applyAlignment="1">
      <alignment horizontal="right"/>
    </xf>
    <xf numFmtId="0" fontId="6" fillId="0" borderId="0" xfId="0" applyFont="1"/>
    <xf numFmtId="0" fontId="0" fillId="0" borderId="6" xfId="0" applyBorder="1" applyAlignment="1">
      <alignment horizontal="left"/>
    </xf>
    <xf numFmtId="0" fontId="4" fillId="0" borderId="4" xfId="0" applyFont="1" applyBorder="1" applyAlignment="1">
      <alignment horizontal="left"/>
    </xf>
    <xf numFmtId="0" fontId="7" fillId="0" borderId="0" xfId="0" applyFont="1"/>
    <xf numFmtId="14" fontId="0" fillId="2" borderId="0" xfId="0" applyNumberFormat="1" applyFill="1"/>
    <xf numFmtId="0" fontId="5" fillId="0" borderId="0" xfId="0" applyFont="1" applyFill="1"/>
    <xf numFmtId="0" fontId="0" fillId="0" borderId="0" xfId="0" applyFill="1"/>
    <xf numFmtId="0" fontId="0" fillId="2" borderId="0" xfId="0" applyFill="1" applyBorder="1"/>
    <xf numFmtId="0" fontId="0" fillId="0" borderId="0" xfId="0" applyNumberFormat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9" fillId="0" borderId="0" xfId="0" applyFont="1" applyFill="1" applyBorder="1"/>
    <xf numFmtId="0" fontId="9" fillId="0" borderId="0" xfId="0" applyFont="1"/>
    <xf numFmtId="0" fontId="7" fillId="0" borderId="0" xfId="0" applyFont="1" applyFill="1"/>
    <xf numFmtId="0" fontId="12" fillId="0" borderId="0" xfId="0" applyFont="1"/>
    <xf numFmtId="0" fontId="0" fillId="0" borderId="0" xfId="0" applyFill="1" applyAlignment="1">
      <alignment horizontal="right"/>
    </xf>
    <xf numFmtId="0" fontId="13" fillId="0" borderId="0" xfId="0" applyFont="1"/>
    <xf numFmtId="0" fontId="15" fillId="0" borderId="0" xfId="0" applyFont="1" applyFill="1"/>
    <xf numFmtId="3" fontId="0" fillId="0" borderId="1" xfId="0" applyNumberForma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4" xfId="0" applyNumberFormat="1" applyBorder="1"/>
    <xf numFmtId="3" fontId="0" fillId="0" borderId="0" xfId="0" applyNumberFormat="1" applyBorder="1"/>
    <xf numFmtId="3" fontId="0" fillId="0" borderId="5" xfId="0" applyNumberFormat="1" applyBorder="1"/>
    <xf numFmtId="3" fontId="4" fillId="4" borderId="4" xfId="0" applyNumberFormat="1" applyFont="1" applyFill="1" applyBorder="1"/>
    <xf numFmtId="3" fontId="0" fillId="4" borderId="0" xfId="0" applyNumberFormat="1" applyFill="1" applyBorder="1"/>
    <xf numFmtId="3" fontId="0" fillId="4" borderId="5" xfId="0" applyNumberFormat="1" applyFill="1" applyBorder="1"/>
    <xf numFmtId="3" fontId="0" fillId="4" borderId="4" xfId="0" applyNumberFormat="1" applyFill="1" applyBorder="1"/>
    <xf numFmtId="3" fontId="4" fillId="0" borderId="4" xfId="0" applyNumberFormat="1" applyFont="1" applyBorder="1"/>
    <xf numFmtId="3" fontId="1" fillId="0" borderId="4" xfId="0" applyNumberFormat="1" applyFont="1" applyBorder="1"/>
    <xf numFmtId="3" fontId="1" fillId="0" borderId="0" xfId="0" applyNumberFormat="1" applyFont="1" applyBorder="1"/>
    <xf numFmtId="3" fontId="1" fillId="0" borderId="5" xfId="0" applyNumberFormat="1" applyFont="1" applyBorder="1"/>
    <xf numFmtId="3" fontId="0" fillId="0" borderId="5" xfId="0" applyNumberFormat="1" applyFont="1" applyBorder="1"/>
    <xf numFmtId="3" fontId="1" fillId="0" borderId="10" xfId="0" applyNumberFormat="1" applyFont="1" applyBorder="1"/>
    <xf numFmtId="3" fontId="7" fillId="0" borderId="7" xfId="0" applyNumberFormat="1" applyFont="1" applyBorder="1"/>
    <xf numFmtId="3" fontId="8" fillId="0" borderId="8" xfId="0" applyNumberFormat="1" applyFont="1" applyBorder="1"/>
    <xf numFmtId="3" fontId="7" fillId="0" borderId="9" xfId="0" applyNumberFormat="1" applyFont="1" applyBorder="1"/>
    <xf numFmtId="3" fontId="7" fillId="0" borderId="8" xfId="0" applyNumberFormat="1" applyFont="1" applyBorder="1"/>
    <xf numFmtId="3" fontId="5" fillId="3" borderId="5" xfId="0" applyNumberFormat="1" applyFont="1" applyFill="1" applyBorder="1"/>
    <xf numFmtId="3" fontId="4" fillId="4" borderId="0" xfId="0" applyNumberFormat="1" applyFont="1" applyFill="1" applyBorder="1"/>
    <xf numFmtId="3" fontId="9" fillId="4" borderId="4" xfId="0" applyNumberFormat="1" applyFont="1" applyFill="1" applyBorder="1"/>
    <xf numFmtId="3" fontId="9" fillId="4" borderId="0" xfId="0" applyNumberFormat="1" applyFont="1" applyFill="1"/>
    <xf numFmtId="3" fontId="0" fillId="4" borderId="0" xfId="0" applyNumberFormat="1" applyFill="1"/>
    <xf numFmtId="3" fontId="0" fillId="0" borderId="0" xfId="0" applyNumberFormat="1"/>
    <xf numFmtId="3" fontId="4" fillId="0" borderId="0" xfId="0" applyNumberFormat="1" applyFont="1" applyBorder="1"/>
    <xf numFmtId="3" fontId="0" fillId="0" borderId="5" xfId="0" applyNumberFormat="1" applyFill="1" applyBorder="1"/>
    <xf numFmtId="3" fontId="0" fillId="0" borderId="4" xfId="0" applyNumberFormat="1" applyFill="1" applyBorder="1"/>
    <xf numFmtId="3" fontId="0" fillId="0" borderId="0" xfId="0" applyNumberFormat="1" applyFill="1" applyBorder="1"/>
    <xf numFmtId="3" fontId="5" fillId="0" borderId="5" xfId="0" applyNumberFormat="1" applyFont="1" applyFill="1" applyBorder="1"/>
    <xf numFmtId="3" fontId="5" fillId="0" borderId="4" xfId="0" applyNumberFormat="1" applyFont="1" applyFill="1" applyBorder="1"/>
    <xf numFmtId="3" fontId="5" fillId="0" borderId="0" xfId="0" applyNumberFormat="1" applyFont="1" applyFill="1" applyBorder="1"/>
    <xf numFmtId="3" fontId="8" fillId="0" borderId="9" xfId="0" applyNumberFormat="1" applyFont="1" applyBorder="1"/>
    <xf numFmtId="3" fontId="10" fillId="0" borderId="4" xfId="0" applyNumberFormat="1" applyFont="1" applyBorder="1"/>
    <xf numFmtId="3" fontId="11" fillId="0" borderId="0" xfId="0" applyNumberFormat="1" applyFont="1" applyBorder="1"/>
    <xf numFmtId="3" fontId="11" fillId="0" borderId="5" xfId="0" applyNumberFormat="1" applyFont="1" applyBorder="1"/>
    <xf numFmtId="3" fontId="1" fillId="0" borderId="0" xfId="0" applyNumberFormat="1" applyFont="1"/>
    <xf numFmtId="3" fontId="7" fillId="0" borderId="4" xfId="0" applyNumberFormat="1" applyFont="1" applyBorder="1"/>
    <xf numFmtId="3" fontId="7" fillId="0" borderId="7" xfId="0" applyNumberFormat="1" applyFont="1" applyFill="1" applyBorder="1"/>
    <xf numFmtId="3" fontId="8" fillId="0" borderId="8" xfId="0" applyNumberFormat="1" applyFont="1" applyFill="1" applyBorder="1"/>
    <xf numFmtId="3" fontId="8" fillId="0" borderId="9" xfId="0" applyNumberFormat="1" applyFont="1" applyFill="1" applyBorder="1"/>
    <xf numFmtId="3" fontId="14" fillId="0" borderId="7" xfId="0" applyNumberFormat="1" applyFont="1" applyFill="1" applyBorder="1"/>
    <xf numFmtId="3" fontId="0" fillId="0" borderId="8" xfId="0" applyNumberFormat="1" applyFill="1" applyBorder="1"/>
    <xf numFmtId="3" fontId="0" fillId="0" borderId="9" xfId="0" applyNumberFormat="1" applyFill="1" applyBorder="1"/>
    <xf numFmtId="3" fontId="0" fillId="0" borderId="0" xfId="0" applyNumberFormat="1" applyFill="1"/>
    <xf numFmtId="3" fontId="7" fillId="0" borderId="0" xfId="0" applyNumberFormat="1" applyFont="1"/>
    <xf numFmtId="3" fontId="6" fillId="0" borderId="0" xfId="0" applyNumberFormat="1" applyFont="1"/>
    <xf numFmtId="3" fontId="4" fillId="0" borderId="4" xfId="0" applyNumberFormat="1" applyFont="1" applyFill="1" applyBorder="1"/>
    <xf numFmtId="3" fontId="1" fillId="0" borderId="5" xfId="0" applyNumberFormat="1" applyFont="1" applyFill="1" applyBorder="1"/>
    <xf numFmtId="0" fontId="14" fillId="0" borderId="0" xfId="0" applyFont="1"/>
    <xf numFmtId="3" fontId="5" fillId="0" borderId="11" xfId="0" applyNumberFormat="1" applyFont="1" applyFill="1" applyBorder="1"/>
    <xf numFmtId="3" fontId="0" fillId="0" borderId="11" xfId="0" applyNumberFormat="1" applyFill="1" applyBorder="1"/>
    <xf numFmtId="3" fontId="1" fillId="0" borderId="11" xfId="0" applyNumberFormat="1" applyFont="1" applyFill="1" applyBorder="1"/>
    <xf numFmtId="3" fontId="9" fillId="0" borderId="11" xfId="0" applyNumberFormat="1" applyFont="1" applyFill="1" applyBorder="1"/>
    <xf numFmtId="3" fontId="7" fillId="0" borderId="11" xfId="0" applyNumberFormat="1" applyFont="1" applyFill="1" applyBorder="1"/>
    <xf numFmtId="0" fontId="1" fillId="0" borderId="9" xfId="0" applyFont="1" applyBorder="1"/>
    <xf numFmtId="0" fontId="0" fillId="0" borderId="9" xfId="0" applyBorder="1"/>
    <xf numFmtId="0" fontId="0" fillId="0" borderId="9" xfId="0" applyFont="1" applyBorder="1"/>
    <xf numFmtId="0" fontId="7" fillId="0" borderId="9" xfId="0" applyFont="1" applyBorder="1"/>
    <xf numFmtId="0" fontId="1" fillId="0" borderId="10" xfId="0" applyFont="1" applyBorder="1"/>
    <xf numFmtId="3" fontId="0" fillId="0" borderId="12" xfId="0" applyNumberFormat="1" applyFill="1" applyBorder="1"/>
    <xf numFmtId="3" fontId="0" fillId="0" borderId="13" xfId="0" applyNumberFormat="1" applyFill="1" applyBorder="1"/>
    <xf numFmtId="0" fontId="1" fillId="0" borderId="3" xfId="0" applyFont="1" applyBorder="1"/>
    <xf numFmtId="3" fontId="0" fillId="0" borderId="6" xfId="0" applyNumberFormat="1" applyFill="1" applyBorder="1"/>
    <xf numFmtId="0" fontId="0" fillId="0" borderId="11" xfId="0" applyBorder="1"/>
    <xf numFmtId="3" fontId="14" fillId="0" borderId="11" xfId="0" applyNumberFormat="1" applyFont="1" applyFill="1" applyBorder="1"/>
    <xf numFmtId="3" fontId="10" fillId="0" borderId="11" xfId="0" applyNumberFormat="1" applyFont="1" applyFill="1" applyBorder="1"/>
    <xf numFmtId="3" fontId="0" fillId="0" borderId="11" xfId="0" applyNumberFormat="1" applyBorder="1"/>
    <xf numFmtId="3" fontId="0" fillId="0" borderId="14" xfId="0" applyNumberFormat="1" applyBorder="1"/>
    <xf numFmtId="3" fontId="0" fillId="0" borderId="16" xfId="0" applyNumberFormat="1" applyBorder="1"/>
    <xf numFmtId="3" fontId="0" fillId="0" borderId="21" xfId="0" applyNumberFormat="1" applyBorder="1"/>
    <xf numFmtId="3" fontId="0" fillId="0" borderId="22" xfId="0" applyNumberFormat="1" applyBorder="1"/>
    <xf numFmtId="3" fontId="0" fillId="0" borderId="18" xfId="0" applyNumberFormat="1" applyBorder="1"/>
    <xf numFmtId="3" fontId="0" fillId="0" borderId="12" xfId="0" applyNumberFormat="1" applyBorder="1"/>
    <xf numFmtId="3" fontId="0" fillId="0" borderId="23" xfId="0" applyNumberFormat="1" applyBorder="1"/>
    <xf numFmtId="0" fontId="0" fillId="0" borderId="15" xfId="0" applyNumberFormat="1" applyBorder="1"/>
    <xf numFmtId="0" fontId="0" fillId="0" borderId="17" xfId="0" applyNumberFormat="1" applyBorder="1"/>
    <xf numFmtId="0" fontId="0" fillId="0" borderId="18" xfId="0" applyNumberFormat="1" applyBorder="1"/>
    <xf numFmtId="0" fontId="0" fillId="0" borderId="19" xfId="0" applyNumberFormat="1" applyBorder="1"/>
    <xf numFmtId="0" fontId="0" fillId="0" borderId="20" xfId="0" applyNumberFormat="1" applyBorder="1"/>
    <xf numFmtId="3" fontId="0" fillId="5" borderId="0" xfId="0" applyNumberFormat="1" applyFill="1"/>
    <xf numFmtId="9" fontId="1" fillId="0" borderId="0" xfId="0" applyNumberFormat="1" applyFont="1"/>
    <xf numFmtId="9" fontId="0" fillId="0" borderId="0" xfId="1" applyFont="1"/>
    <xf numFmtId="3" fontId="0" fillId="0" borderId="1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4" xfId="0" applyNumberFormat="1" applyFill="1" applyBorder="1"/>
    <xf numFmtId="3" fontId="0" fillId="0" borderId="16" xfId="0" applyNumberFormat="1" applyFill="1" applyBorder="1"/>
    <xf numFmtId="3" fontId="0" fillId="0" borderId="16" xfId="1" applyNumberFormat="1" applyFont="1" applyBorder="1"/>
    <xf numFmtId="3" fontId="0" fillId="0" borderId="19" xfId="1" applyNumberFormat="1" applyFont="1" applyBorder="1"/>
    <xf numFmtId="3" fontId="0" fillId="0" borderId="22" xfId="1" applyNumberFormat="1" applyFont="1" applyBorder="1"/>
    <xf numFmtId="3" fontId="1" fillId="0" borderId="18" xfId="0" applyNumberFormat="1" applyFont="1" applyBorder="1"/>
    <xf numFmtId="3" fontId="0" fillId="0" borderId="19" xfId="0" applyNumberFormat="1" applyBorder="1"/>
    <xf numFmtId="3" fontId="18" fillId="0" borderId="14" xfId="0" applyNumberFormat="1" applyFont="1" applyBorder="1"/>
    <xf numFmtId="0" fontId="19" fillId="0" borderId="0" xfId="0" applyFont="1"/>
    <xf numFmtId="3" fontId="0" fillId="0" borderId="14" xfId="0" applyNumberFormat="1" applyBorder="1" applyAlignment="1">
      <alignment horizontal="right"/>
    </xf>
    <xf numFmtId="3" fontId="22" fillId="7" borderId="10" xfId="0" applyNumberFormat="1" applyFont="1" applyFill="1" applyBorder="1"/>
    <xf numFmtId="3" fontId="22" fillId="7" borderId="13" xfId="0" applyNumberFormat="1" applyFont="1" applyFill="1" applyBorder="1"/>
    <xf numFmtId="3" fontId="0" fillId="0" borderId="9" xfId="0" applyNumberFormat="1" applyBorder="1"/>
    <xf numFmtId="3" fontId="0" fillId="0" borderId="7" xfId="0" applyNumberFormat="1" applyBorder="1"/>
    <xf numFmtId="3" fontId="1" fillId="6" borderId="9" xfId="0" applyNumberFormat="1" applyFont="1" applyFill="1" applyBorder="1"/>
    <xf numFmtId="3" fontId="1" fillId="0" borderId="7" xfId="0" applyNumberFormat="1" applyFont="1" applyBorder="1"/>
    <xf numFmtId="3" fontId="1" fillId="6" borderId="7" xfId="0" applyNumberFormat="1" applyFont="1" applyFill="1" applyBorder="1"/>
    <xf numFmtId="3" fontId="7" fillId="6" borderId="9" xfId="0" applyNumberFormat="1" applyFont="1" applyFill="1" applyBorder="1"/>
    <xf numFmtId="3" fontId="7" fillId="6" borderId="7" xfId="0" applyNumberFormat="1" applyFont="1" applyFill="1" applyBorder="1"/>
    <xf numFmtId="3" fontId="10" fillId="0" borderId="1" xfId="0" applyNumberFormat="1" applyFont="1" applyBorder="1"/>
    <xf numFmtId="3" fontId="22" fillId="8" borderId="10" xfId="0" applyNumberFormat="1" applyFont="1" applyFill="1" applyBorder="1"/>
    <xf numFmtId="3" fontId="22" fillId="8" borderId="13" xfId="0" applyNumberFormat="1" applyFont="1" applyFill="1" applyBorder="1"/>
    <xf numFmtId="3" fontId="0" fillId="6" borderId="9" xfId="0" applyNumberFormat="1" applyFont="1" applyFill="1" applyBorder="1"/>
    <xf numFmtId="3" fontId="0" fillId="0" borderId="9" xfId="0" applyNumberFormat="1" applyFont="1" applyBorder="1"/>
    <xf numFmtId="3" fontId="10" fillId="0" borderId="9" xfId="0" applyNumberFormat="1" applyFont="1" applyBorder="1"/>
    <xf numFmtId="3" fontId="0" fillId="6" borderId="7" xfId="0" applyNumberFormat="1" applyFont="1" applyFill="1" applyBorder="1"/>
    <xf numFmtId="3" fontId="0" fillId="0" borderId="7" xfId="0" applyNumberFormat="1" applyFont="1" applyBorder="1"/>
    <xf numFmtId="3" fontId="5" fillId="0" borderId="7" xfId="0" applyNumberFormat="1" applyFont="1" applyBorder="1"/>
    <xf numFmtId="3" fontId="5" fillId="6" borderId="7" xfId="0" applyNumberFormat="1" applyFont="1" applyFill="1" applyBorder="1"/>
    <xf numFmtId="3" fontId="1" fillId="9" borderId="9" xfId="0" applyNumberFormat="1" applyFont="1" applyFill="1" applyBorder="1"/>
    <xf numFmtId="3" fontId="7" fillId="9" borderId="9" xfId="0" applyNumberFormat="1" applyFont="1" applyFill="1" applyBorder="1"/>
    <xf numFmtId="3" fontId="7" fillId="9" borderId="7" xfId="0" applyNumberFormat="1" applyFont="1" applyFill="1" applyBorder="1"/>
  </cellXfs>
  <cellStyles count="2">
    <cellStyle name="Normal" xfId="0" builtinId="0"/>
    <cellStyle name="Procent" xfId="1" builtinId="5"/>
  </cellStyles>
  <dxfs count="130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numFmt numFmtId="3" formatCode="#,##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medium">
          <color auto="1"/>
        </top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" formatCode="#,##0"/>
      <fill>
        <patternFill patternType="solid">
          <fgColor theme="8"/>
          <bgColor theme="9" tint="-0.499984740745262"/>
        </patternFill>
      </fill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numFmt numFmtId="3" formatCode="#,##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medium">
          <color auto="1"/>
        </top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3" formatCode="#,##0"/>
      <fill>
        <patternFill patternType="solid">
          <fgColor theme="8"/>
          <bgColor theme="4" tint="-0.499984740745262"/>
        </patternFill>
      </fill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3" formatCode="#,##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numFmt numFmtId="3" formatCode="#,##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numFmt numFmtId="3" formatCode="#,##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border outline="0">
        <bottom style="medium">
          <color auto="1"/>
        </bottom>
      </border>
    </dxf>
    <dxf>
      <numFmt numFmtId="3" formatCode="#,##0"/>
      <fill>
        <patternFill patternType="none">
          <fgColor indexed="64"/>
          <bgColor indexed="65"/>
        </patternFill>
      </fill>
    </dxf>
    <dxf>
      <numFmt numFmtId="3" formatCode="#,##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numFmt numFmtId="0" formatCode="General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3" formatCode="#,##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numFmt numFmtId="0" formatCode="General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3" formatCode="#,##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numFmt numFmtId="0" formatCode="General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3" formatCode="#,##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numFmt numFmtId="0" formatCode="General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601980</xdr:colOff>
      <xdr:row>10</xdr:row>
      <xdr:rowOff>0</xdr:rowOff>
    </xdr:from>
    <xdr:to>
      <xdr:col>18</xdr:col>
      <xdr:colOff>114300</xdr:colOff>
      <xdr:row>32</xdr:row>
      <xdr:rowOff>152400</xdr:rowOff>
    </xdr:to>
    <xdr:sp macro="" textlink="">
      <xdr:nvSpPr>
        <xdr:cNvPr id="14" name="Pil: vänsterböjd 13">
          <a:extLst>
            <a:ext uri="{FF2B5EF4-FFF2-40B4-BE49-F238E27FC236}">
              <a16:creationId xmlns:a16="http://schemas.microsoft.com/office/drawing/2014/main" id="{825A07F7-D90B-4575-83F7-CF6A13702381}"/>
            </a:ext>
          </a:extLst>
        </xdr:cNvPr>
        <xdr:cNvSpPr/>
      </xdr:nvSpPr>
      <xdr:spPr>
        <a:xfrm>
          <a:off x="13456920" y="2247900"/>
          <a:ext cx="731520" cy="420624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15240</xdr:colOff>
      <xdr:row>10</xdr:row>
      <xdr:rowOff>38100</xdr:rowOff>
    </xdr:from>
    <xdr:to>
      <xdr:col>18</xdr:col>
      <xdr:colOff>30480</xdr:colOff>
      <xdr:row>50</xdr:row>
      <xdr:rowOff>68580</xdr:rowOff>
    </xdr:to>
    <xdr:sp macro="" textlink="">
      <xdr:nvSpPr>
        <xdr:cNvPr id="15" name="Pil: vänsterböjd 14">
          <a:extLst>
            <a:ext uri="{FF2B5EF4-FFF2-40B4-BE49-F238E27FC236}">
              <a16:creationId xmlns:a16="http://schemas.microsoft.com/office/drawing/2014/main" id="{DB93891E-B6F3-46A0-9DC4-EBDD5FB1B466}"/>
            </a:ext>
          </a:extLst>
        </xdr:cNvPr>
        <xdr:cNvSpPr/>
      </xdr:nvSpPr>
      <xdr:spPr>
        <a:xfrm>
          <a:off x="13479780" y="2286000"/>
          <a:ext cx="624840" cy="737616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7620</xdr:colOff>
      <xdr:row>10</xdr:row>
      <xdr:rowOff>0</xdr:rowOff>
    </xdr:from>
    <xdr:to>
      <xdr:col>18</xdr:col>
      <xdr:colOff>129540</xdr:colOff>
      <xdr:row>66</xdr:row>
      <xdr:rowOff>137160</xdr:rowOff>
    </xdr:to>
    <xdr:sp macro="" textlink="">
      <xdr:nvSpPr>
        <xdr:cNvPr id="17" name="Pil: vänsterböjd 16">
          <a:extLst>
            <a:ext uri="{FF2B5EF4-FFF2-40B4-BE49-F238E27FC236}">
              <a16:creationId xmlns:a16="http://schemas.microsoft.com/office/drawing/2014/main" id="{DDF635F0-6154-46D2-96E8-391067298241}"/>
            </a:ext>
          </a:extLst>
        </xdr:cNvPr>
        <xdr:cNvSpPr/>
      </xdr:nvSpPr>
      <xdr:spPr>
        <a:xfrm>
          <a:off x="13472160" y="2247900"/>
          <a:ext cx="731520" cy="1040892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22860</xdr:colOff>
      <xdr:row>10</xdr:row>
      <xdr:rowOff>7620</xdr:rowOff>
    </xdr:from>
    <xdr:to>
      <xdr:col>18</xdr:col>
      <xdr:colOff>144780</xdr:colOff>
      <xdr:row>79</xdr:row>
      <xdr:rowOff>30480</xdr:rowOff>
    </xdr:to>
    <xdr:sp macro="" textlink="">
      <xdr:nvSpPr>
        <xdr:cNvPr id="2" name="Pil: vänsterböjd 1">
          <a:extLst>
            <a:ext uri="{FF2B5EF4-FFF2-40B4-BE49-F238E27FC236}">
              <a16:creationId xmlns:a16="http://schemas.microsoft.com/office/drawing/2014/main" id="{8F261670-22CE-4352-9D5E-5790AA5EC309}"/>
            </a:ext>
          </a:extLst>
        </xdr:cNvPr>
        <xdr:cNvSpPr/>
      </xdr:nvSpPr>
      <xdr:spPr>
        <a:xfrm>
          <a:off x="13487400" y="2255520"/>
          <a:ext cx="731520" cy="1267206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>
            <a:solidFill>
              <a:schemeClr val="tx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455C3F6-A260-4F08-A6E7-53E16F0EFFA9}" name="Tabell3" displayName="Tabell3" ref="A74:J84" totalsRowShown="0" headerRowDxfId="129" headerRowBorderDxfId="128" tableBorderDxfId="127" totalsRowBorderDxfId="126">
  <autoFilter ref="A74:J84" xr:uid="{631A0296-6942-4AB1-8CA6-1F49CA32B023}"/>
  <tableColumns count="10">
    <tableColumn id="1" xr3:uid="{DD6DB2F3-536F-410B-AB57-C563AE02BFF3}" name="Barn &amp; ungdom" dataDxfId="125"/>
    <tableColumn id="2" xr3:uid="{37C355D0-B5CA-434A-9AF7-97A0310B10EB}" name="Intäkter B20" dataDxfId="124"/>
    <tableColumn id="3" xr3:uid="{5E7458AC-32B3-4515-AF18-46A4AEE98CA7}" name="Kostnader B20" dataDxfId="123"/>
    <tableColumn id="4" xr3:uid="{90A80245-A01C-474B-B6AF-7ACEC3CD0280}" name="IntäkterB21" dataDxfId="122"/>
    <tableColumn id="5" xr3:uid="{FA137B05-9334-453B-831C-88DFB652EE58}" name="KostnaderB21" dataDxfId="121">
      <calculatedColumnFormula>SUM(Tabell3[[#This Row],[Intäkter B20]:[IntäkterB21]])</calculatedColumnFormula>
    </tableColumn>
    <tableColumn id="6" xr3:uid="{83F8DF90-4108-4DBC-99FF-03A6744BE0AE}" name="Kolumn5" dataDxfId="120"/>
    <tableColumn id="7" xr3:uid="{6306CC18-1F9E-4887-B533-39DBFE72ECBD}" name="Kolumn6" dataDxfId="119"/>
    <tableColumn id="8" xr3:uid="{CC70F74D-00E7-4A43-9889-62EFDE2D2DD2}" name="Kolumn7" dataDxfId="118"/>
    <tableColumn id="9" xr3:uid="{AB1BDCA9-AF46-40B7-A9BC-CDD9E032CDD3}" name="Kolumn8" dataDxfId="117"/>
    <tableColumn id="10" xr3:uid="{F3AE85BC-987E-4309-9487-3F1F715C0838}" name="Kolumn9" dataDxfId="116"/>
  </tableColumns>
  <tableStyleInfo name="TableStyleDark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932B4533-FFE7-4456-B2EF-097DA977E1A5}" name="Tabell1113" displayName="Tabell1113" ref="A12:S21" totalsRowShown="0">
  <autoFilter ref="A12:S21" xr:uid="{0E134385-92EC-477B-B10B-B1FF9129DE67}"/>
  <tableColumns count="19">
    <tableColumn id="1" xr3:uid="{028E5956-5DC3-445F-8F6F-8FB659FAE6A0}" name="2020 GS"/>
    <tableColumn id="2" xr3:uid="{758233CE-9E5A-4F8B-B714-93C2B1416F5C}" name="Jan" dataDxfId="29"/>
    <tableColumn id="3" xr3:uid="{ACC1673B-8426-47E8-8AD9-7963B5873932}" name="Feb" dataDxfId="28"/>
    <tableColumn id="4" xr3:uid="{2CAC635D-54D3-49B7-8172-F695FE5CA9FD}" name="Mar" dataDxfId="27"/>
    <tableColumn id="5" xr3:uid="{985791A1-C4C6-4D34-921D-31907A71BECE}" name="Apr" dataDxfId="26"/>
    <tableColumn id="6" xr3:uid="{63A1F386-5934-43A0-A6BF-6CE99632CBE4}" name="Maj" dataDxfId="25"/>
    <tableColumn id="7" xr3:uid="{CCF681F6-0432-4711-BEE8-3AE627BDFD61}" name="Jun" dataDxfId="24"/>
    <tableColumn id="8" xr3:uid="{CFFCFF79-72E8-4035-80A9-E18FD7CDC337}" name="Jul" dataDxfId="23"/>
    <tableColumn id="9" xr3:uid="{6F8478A1-494D-4017-86B4-0FD8ED79CF2A}" name="Aug" dataDxfId="22"/>
    <tableColumn id="10" xr3:uid="{17337CB0-BF52-46B3-907C-2264F1CADB86}" name="Sep" dataDxfId="21"/>
    <tableColumn id="11" xr3:uid="{A4C12860-D7F5-4A98-8B4F-4B3FF7AC4B99}" name="Okt" dataDxfId="20"/>
    <tableColumn id="12" xr3:uid="{3B893BB7-AF0C-4939-A2AB-7DE34A3DEEB6}" name="Nov" dataDxfId="19"/>
    <tableColumn id="13" xr3:uid="{74A98CBB-4995-4AAE-BAC0-07AE3C18026E}" name="Dec" dataDxfId="18"/>
    <tableColumn id="15" xr3:uid="{7A284E2D-F570-4938-8F09-FB16D37EC90B}" name="Årstotal" dataDxfId="17">
      <calculatedColumnFormula>SUM(Tabell1113[[#This Row],[Jan]:[Dec]])*1.025</calculatedColumnFormula>
    </tableColumn>
    <tableColumn id="14" xr3:uid="{1597870F-3957-4BE9-8241-B27E84B4BD55}" name="Kommentarer"/>
    <tableColumn id="16" xr3:uid="{17940158-7AC5-491E-9A85-214519F24526}" name="Kolumn1" dataDxfId="16">
      <calculatedColumnFormula>N13*Q13</calculatedColumnFormula>
    </tableColumn>
    <tableColumn id="17" xr3:uid="{7A6244EE-6621-4B0C-8489-032F6F3B114F}" name="Kolumn2" dataDxfId="15"/>
    <tableColumn id="18" xr3:uid="{1C496D69-B6EC-4E22-9DDF-E068BCB9E497}" name="Kolumn3" dataDxfId="14"/>
    <tableColumn id="19" xr3:uid="{6EB7A40B-D4F9-4DBF-B61A-5BE296404A0A}" name="2021 lön" dataDxfId="13">
      <calculatedColumnFormula>N13*1.025</calculatedColumnFormula>
    </tableColumn>
  </tableColumns>
  <tableStyleInfo name="TableStyleLight14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3985CD6D-415E-4F3B-A116-23C435832D86}" name="Tabell111314" displayName="Tabell111314" ref="A23:O32" totalsRowShown="0">
  <autoFilter ref="A23:O32" xr:uid="{2C5228EB-7314-46BF-94B1-BDCF8B9ECB13}"/>
  <tableColumns count="15">
    <tableColumn id="1" xr3:uid="{18804E58-0DF3-4071-BB5B-EFACA72F22EF}" name="2020 Projektledning E-sport 26tkr i månadslön 20 % "/>
    <tableColumn id="2" xr3:uid="{708DE49C-709A-440C-92C7-7FFEF56C4FD9}" name="Jan" dataDxfId="12"/>
    <tableColumn id="3" xr3:uid="{4258A6BE-B193-4A5F-95E4-08ED612FFF17}" name="Feb" dataDxfId="11"/>
    <tableColumn id="4" xr3:uid="{46C823E5-67D6-4DC8-B933-BA2425B3673D}" name="Mar" dataDxfId="10"/>
    <tableColumn id="5" xr3:uid="{E15CFE48-4E59-4B56-B9F5-DF8ED3AAEFDD}" name="Apr" dataDxfId="9"/>
    <tableColumn id="6" xr3:uid="{4F593804-B089-4AE1-93D8-D374800AC81D}" name="Maj" dataDxfId="8"/>
    <tableColumn id="7" xr3:uid="{CC0C4390-E7E1-4433-8BC3-AA3BC71C9CFD}" name="Jun" dataDxfId="7"/>
    <tableColumn id="8" xr3:uid="{71E31240-2E0A-4E94-A9D2-1396C15D8C7E}" name="Jul" dataDxfId="6"/>
    <tableColumn id="9" xr3:uid="{B5D4A47B-08CC-48F6-9989-CCB2DDB61156}" name="Aug" dataDxfId="5"/>
    <tableColumn id="10" xr3:uid="{3D0F6682-32F1-4F5B-8785-33AE77A5EE51}" name="Sep" dataDxfId="4"/>
    <tableColumn id="11" xr3:uid="{6B5618B7-0B78-4BBB-84F3-C06A4CF6470D}" name="Okt" dataDxfId="3"/>
    <tableColumn id="12" xr3:uid="{AF26CC19-4F1B-4CFB-A3A2-6BA802C451F8}" name="Nov" dataDxfId="2"/>
    <tableColumn id="13" xr3:uid="{EE553CBB-E318-47E8-AE24-E988B6D93933}" name="Dec" dataDxfId="1"/>
    <tableColumn id="15" xr3:uid="{53EF8349-ACA2-401F-88FF-CB7E77883D17}" name="Årstotal" dataDxfId="0">
      <calculatedColumnFormula>SUM(Tabell111314[[#This Row],[Jan]:[Dec]])*0.55*0.2</calculatedColumnFormula>
    </tableColumn>
    <tableColumn id="14" xr3:uid="{21CE79B9-FA56-433C-A329-968DE56B26BE}" name="Kommentarer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85B4234-FA16-4924-8D63-453A38BCC9F6}" name="Tabell5" displayName="Tabell5" ref="A85:J90" totalsRowShown="0" headerRowDxfId="115" headerRowBorderDxfId="114" tableBorderDxfId="113" totalsRowBorderDxfId="112">
  <autoFilter ref="A85:J90" xr:uid="{7F651C8A-DB90-4972-8FBC-129BF055D320}"/>
  <tableColumns count="10">
    <tableColumn id="1" xr3:uid="{5731E9CE-591D-4E0B-8B72-75C6C15AB2C3}" name="Landslagsstöd" dataDxfId="111"/>
    <tableColumn id="2" xr3:uid="{C56D7D8B-A192-405B-89EC-38CA5BC35413}" name="Intäkter B20" dataDxfId="110"/>
    <tableColumn id="3" xr3:uid="{CA53BCEB-C2D8-45BC-BB89-8E7134F561BF}" name="Kostnader B20" dataDxfId="109"/>
    <tableColumn id="4" xr3:uid="{78E9B110-5F5C-40F6-ACA3-47631297C9E8}" name="IntäkterB21" dataDxfId="108"/>
    <tableColumn id="5" xr3:uid="{7B0A16FF-B4C8-49E0-AB97-043B88E0A766}" name="KostnaderB21" dataDxfId="107"/>
    <tableColumn id="6" xr3:uid="{6ED7B9B2-3FBC-496A-85FE-5D9E17D7D6A4}" name="Kolumn5" dataDxfId="106"/>
    <tableColumn id="7" xr3:uid="{7EE4CD7B-9FAC-436A-9393-7C6E9FA3140C}" name="Kolumn6" dataDxfId="105"/>
    <tableColumn id="8" xr3:uid="{D11E4BDA-5D4B-4F44-AF82-7230441516F5}" name="Kolumn7" dataDxfId="104"/>
    <tableColumn id="9" xr3:uid="{3C65C5E4-CFF4-4C51-92B4-0DCE7E66F29B}" name="Kolumn8" dataDxfId="103"/>
    <tableColumn id="10" xr3:uid="{9FADEC28-1562-45BE-8E12-6447ED846F81}" name="Kolumn9" dataDxfId="102" dataCellStyle="Procent"/>
  </tableColumns>
  <tableStyleInfo name="TableStyleDark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AD95FAA-2B54-4AE9-9072-FC4CF45B42CB}" name="Tabell6" displayName="Tabell6" ref="A91:J97" totalsRowShown="0" headerRowDxfId="101" headerRowBorderDxfId="100" tableBorderDxfId="99" totalsRowBorderDxfId="98">
  <autoFilter ref="A91:J97" xr:uid="{005D9EDF-981E-42F0-AA3B-53BBF2102075}"/>
  <tableColumns count="10">
    <tableColumn id="1" xr3:uid="{669C6574-A9A6-4DDD-A962-6FE02A5B99C2}" name="Vuxenidrott" dataDxfId="97"/>
    <tableColumn id="2" xr3:uid="{EC24BC66-DE36-4599-8138-6F2924FF1DBD}" name="Intäkter B20" dataDxfId="96"/>
    <tableColumn id="3" xr3:uid="{C4264D60-D499-4924-BE69-CA9D4A5673AC}" name="Kostnader B20" dataDxfId="95"/>
    <tableColumn id="4" xr3:uid="{00283178-D295-43CA-9834-55789B9CCEEC}" name="IntäkterB21" dataDxfId="94"/>
    <tableColumn id="5" xr3:uid="{38A5691A-9CF3-44F6-8732-5B94E04715F7}" name="KostnaderB21" dataDxfId="93">
      <calculatedColumnFormula>SUBTOTAL(109,E88:E91)</calculatedColumnFormula>
    </tableColumn>
    <tableColumn id="6" xr3:uid="{078D93C6-D6B3-4907-AD09-F56D2F8601E3}" name="Kolumn5" dataDxfId="92"/>
    <tableColumn id="7" xr3:uid="{EC769868-0F69-422F-9EC4-D43FAF6A8780}" name="Kolumn6" dataDxfId="91"/>
    <tableColumn id="8" xr3:uid="{8692ABC2-3E12-453F-88E6-039D6AF4DE78}" name="Kolumn7" dataDxfId="90"/>
    <tableColumn id="9" xr3:uid="{6E524006-304D-4AA0-9DA4-5E713A56D2C6}" name="Kolumn8" dataDxfId="89"/>
    <tableColumn id="10" xr3:uid="{8C8FE4C6-2C82-4B52-84E9-103334F6FFBC}" name="Kolumn9" dataDxfId="88"/>
  </tableColumns>
  <tableStyleInfo name="TableStyleDark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23901E5-CE94-406C-9535-01BAE760BD2C}" name="Tabell7" displayName="Tabell7" ref="A98:J102" totalsRowShown="0" headerRowDxfId="87" headerRowBorderDxfId="86" tableBorderDxfId="85" totalsRowBorderDxfId="84">
  <autoFilter ref="A98:J102" xr:uid="{A53EE888-60A4-467B-98AE-DC5DAFD121E5}"/>
  <tableColumns count="10">
    <tableColumn id="1" xr3:uid="{F40A9C11-125D-4191-AD10-E81B03B78DBE}" name="Internationellt utvecklingsstöd" dataDxfId="83"/>
    <tableColumn id="2" xr3:uid="{64C0F53D-1FA1-4934-9799-7B4016CB43F6}" name="Intäkter B20" dataDxfId="82"/>
    <tableColumn id="3" xr3:uid="{D52A7563-7413-4295-A608-F3BE89D82711}" name="Kostnader B20" dataDxfId="81"/>
    <tableColumn id="4" xr3:uid="{2B984909-9848-4EC8-B421-BD46BF5F5922}" name="IntäkterB21" dataDxfId="80"/>
    <tableColumn id="5" xr3:uid="{8D6049CA-ACB0-4FD6-9A17-21EC17B5641A}" name="KostnaderB21" dataDxfId="79"/>
    <tableColumn id="6" xr3:uid="{A033BA13-925B-4CC4-8F8F-77BB94828760}" name="Kolumn5" dataDxfId="78"/>
    <tableColumn id="7" xr3:uid="{C56BAFA2-33F7-4EB9-857A-78A4DBCDDD61}" name="Kolumn6" dataDxfId="77"/>
    <tableColumn id="8" xr3:uid="{3F245B61-99AD-4350-824C-7992151584CA}" name="Kolumn7" dataDxfId="76"/>
    <tableColumn id="9" xr3:uid="{EB371BF0-B75D-4937-8289-ED20BE0ADEB6}" name="Kolumn8" dataDxfId="75"/>
    <tableColumn id="10" xr3:uid="{0AB643AD-D157-4785-95C7-DB0673E53A3F}" name="Kolumn9" dataDxfId="74"/>
  </tableColumns>
  <tableStyleInfo name="TableStyleDark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A31E0AC-EE95-4E4F-96CD-D0EFC055B693}" name="Tabell8" displayName="Tabell8" ref="A103:J110" totalsRowShown="0" headerRowDxfId="73" headerRowBorderDxfId="72" tableBorderDxfId="71" totalsRowBorderDxfId="70">
  <autoFilter ref="A103:J110" xr:uid="{4C1AF00E-3F99-4CA1-AE46-4BBEB4CD0403}"/>
  <tableColumns count="10">
    <tableColumn id="1" xr3:uid="{5D0A7E1C-05A7-4991-94AF-BABDE94D167B}" name="Projekt demokrati och digitalisering" dataDxfId="69"/>
    <tableColumn id="2" xr3:uid="{AC94EA74-A451-450C-9CDB-E043B93DC15A}" name="Intäkter B20" dataDxfId="68"/>
    <tableColumn id="3" xr3:uid="{803F4323-14E0-42DC-B5C5-0F21F02EABA6}" name="Kostnader B20" dataDxfId="67"/>
    <tableColumn id="4" xr3:uid="{89963AF8-62A1-4384-AF09-F96AE60B8F0B}" name="IntäkterB21" dataDxfId="66"/>
    <tableColumn id="5" xr3:uid="{B735454C-BE8E-4CF1-8E6C-6EDADB6F8816}" name="KostnaderB21" dataDxfId="65"/>
    <tableColumn id="6" xr3:uid="{D84C5AE3-B6BF-4734-977C-DE2ABA43E2E6}" name="Kolumn5" dataDxfId="64"/>
    <tableColumn id="7" xr3:uid="{C1B2FB06-904A-483A-B5FA-F4DA7953242C}" name="Kolumn6" dataDxfId="63"/>
    <tableColumn id="8" xr3:uid="{19B8257B-C2E3-4D5A-8543-527A46979DD2}" name="Kolumn7" dataDxfId="62"/>
    <tableColumn id="9" xr3:uid="{2E324C50-1677-4EE0-831C-A0CAEC9B01E2}" name="Kolumn8" dataDxfId="61"/>
    <tableColumn id="10" xr3:uid="{4A6B7593-E10D-41F9-9552-3151B739F2F8}" name="Kolumn9" dataDxfId="60"/>
  </tableColumns>
  <tableStyleInfo name="TableStyleDark1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E65A28EE-64D3-4E80-8F53-5CD25FBAAE0A}" name="Tabell10" displayName="Tabell10" ref="A3:J71" totalsRowShown="0" headerRowDxfId="59" headerRowBorderDxfId="58">
  <autoFilter ref="A3:J71" xr:uid="{600EF0F5-69BC-4C57-8E3E-6B0213ECB15B}"/>
  <tableColumns count="10">
    <tableColumn id="1" xr3:uid="{1B91A999-D6A2-4CB8-825C-B949F8046F5C}" name="Nettoomsättning"/>
    <tableColumn id="2" xr3:uid="{6F027053-0EC1-4224-A91F-D6A3DA7385D7}" name="Intäkter B20"/>
    <tableColumn id="3" xr3:uid="{FF75B0BF-966D-4029-AD25-225D18A966E9}" name="Kostnader B20"/>
    <tableColumn id="4" xr3:uid="{03375C6A-88F8-4B63-B7E6-AEE7DFA71B6A}" name="IntäkterB21"/>
    <tableColumn id="5" xr3:uid="{53DC1E4A-260C-4883-84FA-5C24A5BE3465}" name="KostnaderB21"/>
    <tableColumn id="6" xr3:uid="{00B017CC-F234-47C4-AA49-CB282116E7DD}" name="Intäkter utfall 2019" dataDxfId="57"/>
    <tableColumn id="7" xr3:uid="{7DC566B4-72F9-4C49-B2AA-E2B3802D30A7}" name="Kostnader utfall 2019"/>
    <tableColumn id="8" xr3:uid="{C1B779CB-994E-4F19-95FA-609F73CD465D}" name="Intäkter p19" dataDxfId="56"/>
    <tableColumn id="9" xr3:uid="{E6828087-85C1-4B06-82DC-FF6B73A4CC21}" name="Kostnader p19"/>
    <tableColumn id="10" xr3:uid="{A32E05A7-F787-408D-8E6D-8BDAB20D9196}" name="Kommentarer" dataDxfId="55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5AED6BF-F88A-4E89-BBF8-833A89A46346}" name="Tabell2" displayName="Tabell2" ref="K3:L71" totalsRowShown="0" headerRowDxfId="54" headerRowBorderDxfId="53" tableBorderDxfId="52" totalsRowBorderDxfId="51">
  <autoFilter ref="K3:L71" xr:uid="{E7748E1D-E28A-4AE7-B3C7-E4BE0E9DD852}"/>
  <tableColumns count="2">
    <tableColumn id="1" xr3:uid="{3EE389F6-6865-4EDC-8E91-E91B26EE4F6A}" name="Intäkter U" dataDxfId="50"/>
    <tableColumn id="2" xr3:uid="{11E3FAF6-1FBC-4A91-A6FA-EE70C8157503}" name="Kostnader U" dataDxfId="49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967D6E4-DF5C-4B67-AC79-0A215D2AD157}" name="Tabell4" displayName="Tabell4" ref="M3:N71" totalsRowShown="0" headerRowDxfId="48" headerRowBorderDxfId="47" tableBorderDxfId="46" totalsRowBorderDxfId="45">
  <autoFilter ref="M3:N71" xr:uid="{B7FC044C-0B7F-439C-950E-B13AD3F9850D}"/>
  <tableColumns count="2">
    <tableColumn id="1" xr3:uid="{B4A1947E-D627-47D8-BF13-B17E226D4466}" name="Intäkter P" dataDxfId="44"/>
    <tableColumn id="2" xr3:uid="{14750E53-36CD-45D6-957C-420BAF0F4E10}" name="Kostnader P" dataDxfId="43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A31F81E-E3CD-4D4E-9DE7-22BA076D68D6}" name="Tabell11" displayName="Tabell11" ref="A1:O10" totalsRowShown="0">
  <autoFilter ref="A1:O10" xr:uid="{139F0503-9A0F-45F8-A9D7-9ED30ABC33CE}"/>
  <tableColumns count="15">
    <tableColumn id="1" xr3:uid="{6C7C27D9-2532-4268-8D9A-30AECEC620AD}" name="2019"/>
    <tableColumn id="2" xr3:uid="{DEDEDC38-DA8D-46D5-9388-5FDE25A8240F}" name="Jan" dataDxfId="42"/>
    <tableColumn id="3" xr3:uid="{55336A39-34F2-4194-B53A-EB9ADCC81DA1}" name="Feb" dataDxfId="41"/>
    <tableColumn id="4" xr3:uid="{C89B4D43-8DA9-4F91-91A4-DB6FD16D5479}" name="Mar" dataDxfId="40"/>
    <tableColumn id="5" xr3:uid="{D13EBFF4-8A5F-4AC5-961E-7D505A030E34}" name="Apr" dataDxfId="39"/>
    <tableColumn id="6" xr3:uid="{26887D73-EA2F-48FB-8428-ED0849716B21}" name="Maj" dataDxfId="38"/>
    <tableColumn id="7" xr3:uid="{E99965FF-0954-44B8-9332-D5817D029A58}" name="Jun" dataDxfId="37"/>
    <tableColumn id="8" xr3:uid="{5DABA86A-F789-474B-A741-7676C3C58C25}" name="Jul" dataDxfId="36"/>
    <tableColumn id="9" xr3:uid="{08AA8307-009C-4187-A492-FA630047B280}" name="Aug" dataDxfId="35"/>
    <tableColumn id="10" xr3:uid="{247710E0-AC3D-42C4-8798-89946F1542A9}" name="Sep" dataDxfId="34"/>
    <tableColumn id="11" xr3:uid="{D3B976E8-0099-4E83-A5F5-58AE295B3F5D}" name="Okt" dataDxfId="33"/>
    <tableColumn id="12" xr3:uid="{9CAB2A54-ACAF-4691-9590-6F1FF628D044}" name="Nov" dataDxfId="32"/>
    <tableColumn id="13" xr3:uid="{8B69611E-33FF-4DB8-B89F-EE761F3F6DE2}" name="Dec" dataDxfId="31"/>
    <tableColumn id="15" xr3:uid="{71D5A042-D8EF-4272-B925-EA02C59E6E01}" name="Årstotal" dataDxfId="30">
      <calculatedColumnFormula>SUM(Tabell11[[#This Row],[Jan]:[Dec]])</calculatedColumnFormula>
    </tableColumn>
    <tableColumn id="14" xr3:uid="{0DE0DE88-AB5B-4293-BA83-B1D8C95A206A}" name="Kommentarer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11" Type="http://schemas.openxmlformats.org/officeDocument/2006/relationships/comments" Target="../comments1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4"/>
  <sheetViews>
    <sheetView topLeftCell="B73" zoomScaleNormal="100" workbookViewId="0">
      <pane xSplit="1" topLeftCell="E1" activePane="topRight" state="frozen"/>
      <selection activeCell="B58" sqref="B58"/>
      <selection pane="topRight" activeCell="B1" sqref="B1:P1048576"/>
    </sheetView>
  </sheetViews>
  <sheetFormatPr defaultRowHeight="15" x14ac:dyDescent="0.25"/>
  <cols>
    <col min="1" max="1" width="0" hidden="1" customWidth="1"/>
    <col min="2" max="2" width="37.85546875" bestFit="1" customWidth="1"/>
    <col min="5" max="5" width="14.28515625" customWidth="1"/>
    <col min="6" max="6" width="3.140625" customWidth="1"/>
    <col min="7" max="7" width="1.5703125" customWidth="1"/>
    <col min="8" max="8" width="14.7109375" customWidth="1"/>
    <col min="9" max="9" width="11.85546875" customWidth="1"/>
    <col min="10" max="10" width="10.85546875" customWidth="1"/>
    <col min="11" max="11" width="13.5703125" bestFit="1" customWidth="1"/>
    <col min="12" max="12" width="9.7109375" bestFit="1" customWidth="1"/>
    <col min="13" max="13" width="9.140625" bestFit="1" customWidth="1"/>
    <col min="14" max="14" width="13.5703125" customWidth="1"/>
    <col min="15" max="15" width="9.28515625" bestFit="1" customWidth="1"/>
    <col min="16" max="16" width="9.140625" bestFit="1" customWidth="1"/>
  </cols>
  <sheetData>
    <row r="1" spans="1:19" ht="46.5" x14ac:dyDescent="0.7">
      <c r="A1" s="9" t="s">
        <v>74</v>
      </c>
      <c r="B1" s="9"/>
      <c r="C1" s="9"/>
      <c r="D1" s="9"/>
      <c r="E1" s="9"/>
      <c r="F1" s="2"/>
      <c r="G1" s="13" t="s">
        <v>134</v>
      </c>
      <c r="H1" s="13"/>
      <c r="I1" s="13"/>
      <c r="J1" s="13"/>
      <c r="K1" s="13"/>
      <c r="L1" s="2"/>
      <c r="M1" s="2"/>
    </row>
    <row r="2" spans="1:19" x14ac:dyDescent="0.25">
      <c r="A2" t="s">
        <v>0</v>
      </c>
      <c r="L2" t="s">
        <v>1</v>
      </c>
    </row>
    <row r="3" spans="1:19" x14ac:dyDescent="0.25">
      <c r="A3" t="s">
        <v>2</v>
      </c>
    </row>
    <row r="4" spans="1:19" x14ac:dyDescent="0.25">
      <c r="A4" t="s">
        <v>3</v>
      </c>
    </row>
    <row r="5" spans="1:19" ht="15.75" thickBot="1" x14ac:dyDescent="0.3">
      <c r="A5" t="s">
        <v>4</v>
      </c>
    </row>
    <row r="6" spans="1:19" x14ac:dyDescent="0.25">
      <c r="A6" s="18" t="s">
        <v>117</v>
      </c>
      <c r="B6" s="19"/>
      <c r="C6" s="19"/>
      <c r="H6" s="5"/>
      <c r="I6" s="5" t="s">
        <v>5</v>
      </c>
      <c r="J6" s="5"/>
      <c r="K6" s="5"/>
      <c r="L6" s="5" t="s">
        <v>6</v>
      </c>
      <c r="M6" s="5"/>
      <c r="N6" s="5"/>
      <c r="O6" s="5" t="s">
        <v>6</v>
      </c>
      <c r="P6" s="5"/>
    </row>
    <row r="7" spans="1:19" x14ac:dyDescent="0.25">
      <c r="A7" s="4" t="s">
        <v>118</v>
      </c>
      <c r="B7" s="17"/>
      <c r="H7" s="6"/>
      <c r="I7" s="20" t="s">
        <v>133</v>
      </c>
      <c r="J7" s="6"/>
      <c r="K7" s="6"/>
      <c r="L7" s="6" t="s">
        <v>73</v>
      </c>
      <c r="M7" s="6"/>
      <c r="N7" s="6"/>
      <c r="O7" s="6" t="s">
        <v>73</v>
      </c>
      <c r="P7" s="6"/>
    </row>
    <row r="8" spans="1:19" ht="15.75" thickBot="1" x14ac:dyDescent="0.3">
      <c r="A8" s="3" t="s">
        <v>7</v>
      </c>
      <c r="B8" s="3"/>
      <c r="C8" s="3"/>
      <c r="H8" s="7"/>
      <c r="I8" s="14">
        <v>2018</v>
      </c>
      <c r="J8" s="7"/>
      <c r="K8" s="7"/>
      <c r="L8" s="14">
        <v>2018</v>
      </c>
      <c r="M8" s="7"/>
      <c r="N8" s="7"/>
      <c r="O8" s="14">
        <v>2019</v>
      </c>
      <c r="P8" s="7"/>
    </row>
    <row r="9" spans="1:19" x14ac:dyDescent="0.25">
      <c r="A9" s="3"/>
      <c r="B9" s="3" t="s">
        <v>8</v>
      </c>
      <c r="C9" s="3"/>
      <c r="H9" s="32"/>
      <c r="I9" s="33"/>
      <c r="J9" s="34"/>
      <c r="K9" s="32"/>
      <c r="L9" s="33"/>
      <c r="M9" s="34"/>
      <c r="N9" s="32"/>
      <c r="O9" s="33"/>
      <c r="P9" s="34"/>
    </row>
    <row r="10" spans="1:19" x14ac:dyDescent="0.25">
      <c r="A10">
        <v>3010</v>
      </c>
      <c r="B10" t="s">
        <v>9</v>
      </c>
      <c r="E10" t="s">
        <v>9</v>
      </c>
      <c r="H10" s="35"/>
      <c r="I10" s="36"/>
      <c r="J10" s="37">
        <v>3057000</v>
      </c>
      <c r="K10" s="35"/>
      <c r="L10" s="36"/>
      <c r="M10" s="37">
        <v>3057000</v>
      </c>
      <c r="N10" s="35"/>
      <c r="O10" s="36"/>
      <c r="P10" s="37">
        <v>3053000</v>
      </c>
      <c r="S10" s="57"/>
    </row>
    <row r="11" spans="1:19" x14ac:dyDescent="0.25">
      <c r="A11">
        <v>3011</v>
      </c>
      <c r="B11" t="s">
        <v>10</v>
      </c>
      <c r="E11" t="s">
        <v>10</v>
      </c>
      <c r="H11" s="38" t="s">
        <v>79</v>
      </c>
      <c r="I11" s="39"/>
      <c r="J11" s="40">
        <v>974000</v>
      </c>
      <c r="K11" s="41"/>
      <c r="L11" s="39"/>
      <c r="M11" s="40">
        <v>974000</v>
      </c>
      <c r="N11" s="41"/>
      <c r="O11" s="39"/>
      <c r="P11" s="40">
        <v>1304000</v>
      </c>
      <c r="Q11" s="26">
        <v>1304000</v>
      </c>
      <c r="S11" s="57"/>
    </row>
    <row r="12" spans="1:19" x14ac:dyDescent="0.25">
      <c r="A12">
        <v>3012</v>
      </c>
      <c r="B12" t="s">
        <v>11</v>
      </c>
      <c r="E12" t="s">
        <v>100</v>
      </c>
      <c r="H12" s="35"/>
      <c r="I12" s="36"/>
      <c r="J12" s="37">
        <v>350000</v>
      </c>
      <c r="K12" s="35"/>
      <c r="L12" s="36"/>
      <c r="M12" s="37">
        <v>350000</v>
      </c>
      <c r="N12" s="35"/>
      <c r="O12" s="36"/>
      <c r="P12" s="37">
        <v>380000</v>
      </c>
      <c r="S12" s="57"/>
    </row>
    <row r="13" spans="1:19" x14ac:dyDescent="0.25">
      <c r="A13">
        <v>3210</v>
      </c>
      <c r="B13" t="s">
        <v>12</v>
      </c>
      <c r="E13" t="s">
        <v>101</v>
      </c>
      <c r="H13" s="42" t="s">
        <v>76</v>
      </c>
      <c r="I13" s="36"/>
      <c r="J13" s="37">
        <v>111600</v>
      </c>
      <c r="K13" s="35"/>
      <c r="L13" s="36"/>
      <c r="M13" s="37">
        <v>70000</v>
      </c>
      <c r="N13" s="35"/>
      <c r="O13" s="36"/>
      <c r="P13" s="37">
        <v>140000</v>
      </c>
      <c r="S13" s="57"/>
    </row>
    <row r="14" spans="1:19" x14ac:dyDescent="0.25">
      <c r="A14">
        <v>3591</v>
      </c>
      <c r="B14" t="s">
        <v>13</v>
      </c>
      <c r="E14" t="s">
        <v>100</v>
      </c>
      <c r="H14" s="35"/>
      <c r="I14" s="36"/>
      <c r="J14" s="37">
        <v>17460</v>
      </c>
      <c r="K14" s="35"/>
      <c r="L14" s="36"/>
      <c r="M14" s="37">
        <v>30000</v>
      </c>
      <c r="N14" s="35"/>
      <c r="O14" s="36"/>
      <c r="P14" s="37">
        <v>25000</v>
      </c>
      <c r="S14" s="57">
        <v>25000</v>
      </c>
    </row>
    <row r="15" spans="1:19" x14ac:dyDescent="0.25">
      <c r="A15">
        <v>3610</v>
      </c>
      <c r="B15" t="s">
        <v>14</v>
      </c>
      <c r="H15" s="35"/>
      <c r="I15" s="36"/>
      <c r="J15" s="37"/>
      <c r="K15" s="35"/>
      <c r="L15" s="36"/>
      <c r="M15" s="37"/>
      <c r="N15" s="35"/>
      <c r="O15" s="36"/>
      <c r="P15" s="37">
        <v>0</v>
      </c>
      <c r="S15" s="57"/>
    </row>
    <row r="16" spans="1:19" x14ac:dyDescent="0.25">
      <c r="A16">
        <v>3630</v>
      </c>
      <c r="B16" t="s">
        <v>15</v>
      </c>
      <c r="E16" t="s">
        <v>102</v>
      </c>
      <c r="H16" s="42" t="s">
        <v>77</v>
      </c>
      <c r="I16" s="36"/>
      <c r="J16" s="37">
        <v>15000</v>
      </c>
      <c r="K16" s="35"/>
      <c r="L16" s="36"/>
      <c r="M16" s="37">
        <v>15000</v>
      </c>
      <c r="N16" s="35"/>
      <c r="O16" s="36"/>
      <c r="P16" s="37">
        <v>33000</v>
      </c>
      <c r="S16" s="57" t="s">
        <v>130</v>
      </c>
    </row>
    <row r="17" spans="1:19" x14ac:dyDescent="0.25">
      <c r="B17" s="3" t="s">
        <v>16</v>
      </c>
      <c r="C17" s="3"/>
      <c r="D17" s="3"/>
      <c r="E17" s="3"/>
      <c r="F17" s="3"/>
      <c r="G17" s="3"/>
      <c r="H17" s="43"/>
      <c r="I17" s="44">
        <f>SUM(J10:J16)</f>
        <v>4525060</v>
      </c>
      <c r="J17" s="37"/>
      <c r="K17" s="43"/>
      <c r="L17" s="44">
        <f>SUM(M10:M16)</f>
        <v>4496000</v>
      </c>
      <c r="M17" s="37"/>
      <c r="N17" s="35"/>
      <c r="O17" s="44">
        <f>SUM(P10:P16)</f>
        <v>4935000</v>
      </c>
      <c r="P17" s="45"/>
      <c r="S17" s="57"/>
    </row>
    <row r="18" spans="1:19" x14ac:dyDescent="0.25">
      <c r="B18" s="3" t="s">
        <v>17</v>
      </c>
      <c r="C18" s="3"/>
      <c r="H18" s="35"/>
      <c r="I18" s="36"/>
      <c r="J18" s="37"/>
      <c r="K18" s="35"/>
      <c r="L18" s="36"/>
      <c r="M18" s="37"/>
      <c r="N18" s="35"/>
      <c r="O18" s="36"/>
      <c r="P18" s="37"/>
      <c r="S18" s="57"/>
    </row>
    <row r="19" spans="1:19" x14ac:dyDescent="0.25">
      <c r="A19">
        <v>3890</v>
      </c>
      <c r="B19" t="s">
        <v>18</v>
      </c>
      <c r="E19" t="s">
        <v>103</v>
      </c>
      <c r="H19" s="35"/>
      <c r="I19" s="36"/>
      <c r="J19" s="37">
        <v>92375</v>
      </c>
      <c r="K19" s="35"/>
      <c r="L19" s="36"/>
      <c r="M19" s="37">
        <v>100000</v>
      </c>
      <c r="N19" s="35"/>
      <c r="O19" s="36"/>
      <c r="P19" s="37">
        <v>87500</v>
      </c>
      <c r="S19" s="57"/>
    </row>
    <row r="20" spans="1:19" x14ac:dyDescent="0.25">
      <c r="B20" s="3" t="s">
        <v>19</v>
      </c>
      <c r="C20" s="3"/>
      <c r="H20" s="35"/>
      <c r="I20" s="44">
        <v>92375</v>
      </c>
      <c r="J20" s="45"/>
      <c r="K20" s="43"/>
      <c r="L20" s="44">
        <v>100000</v>
      </c>
      <c r="M20" s="45"/>
      <c r="N20" s="43"/>
      <c r="O20" s="44">
        <v>87500</v>
      </c>
      <c r="P20" s="45"/>
      <c r="S20" s="57"/>
    </row>
    <row r="21" spans="1:19" x14ac:dyDescent="0.25">
      <c r="B21" s="3" t="s">
        <v>96</v>
      </c>
      <c r="C21" s="3"/>
      <c r="H21" s="35"/>
      <c r="I21" s="44"/>
      <c r="J21" s="45"/>
      <c r="K21" s="44"/>
      <c r="L21" s="44"/>
      <c r="M21" s="45"/>
      <c r="N21" s="44"/>
      <c r="O21" s="44"/>
      <c r="P21" s="45"/>
      <c r="S21" s="57"/>
    </row>
    <row r="22" spans="1:19" x14ac:dyDescent="0.25">
      <c r="A22">
        <v>3990</v>
      </c>
      <c r="B22" s="8" t="s">
        <v>97</v>
      </c>
      <c r="C22" s="8"/>
      <c r="D22" s="8"/>
      <c r="H22" s="35"/>
      <c r="I22" s="44"/>
      <c r="J22" s="46"/>
      <c r="K22" s="44"/>
      <c r="L22" s="44"/>
      <c r="M22" s="46"/>
      <c r="N22" s="44"/>
      <c r="O22" s="44"/>
      <c r="P22" s="45"/>
      <c r="S22" s="57"/>
    </row>
    <row r="23" spans="1:19" ht="15.75" thickBot="1" x14ac:dyDescent="0.3">
      <c r="B23" s="3" t="s">
        <v>98</v>
      </c>
      <c r="C23" s="3"/>
      <c r="H23" s="35"/>
      <c r="I23" s="44"/>
      <c r="J23" s="45"/>
      <c r="K23" s="44"/>
      <c r="L23" s="44"/>
      <c r="M23" s="45"/>
      <c r="N23" s="44"/>
      <c r="O23" s="44"/>
      <c r="P23" s="47"/>
      <c r="S23" s="57"/>
    </row>
    <row r="24" spans="1:19" ht="16.5" thickBot="1" x14ac:dyDescent="0.3">
      <c r="A24" s="16" t="s">
        <v>20</v>
      </c>
      <c r="B24" s="16"/>
      <c r="C24" s="16"/>
      <c r="D24" s="16"/>
      <c r="E24" s="16"/>
      <c r="F24" s="16"/>
      <c r="G24" s="16"/>
      <c r="H24" s="48">
        <f>SUM(J10:J22)</f>
        <v>4617435</v>
      </c>
      <c r="I24" s="49"/>
      <c r="J24" s="50"/>
      <c r="K24" s="51">
        <f>SUM(M10:M22)</f>
        <v>4596000</v>
      </c>
      <c r="L24" s="49"/>
      <c r="M24" s="50"/>
      <c r="N24" s="51">
        <f>SUM(O10:O22)</f>
        <v>5022500</v>
      </c>
      <c r="O24" s="49"/>
      <c r="P24" s="50"/>
      <c r="S24" s="57"/>
    </row>
    <row r="25" spans="1:19" x14ac:dyDescent="0.25">
      <c r="A25" s="3" t="s">
        <v>21</v>
      </c>
      <c r="B25" s="3"/>
      <c r="C25" s="3"/>
      <c r="H25" s="35"/>
      <c r="I25" s="36"/>
      <c r="J25" s="37"/>
      <c r="K25" s="35"/>
      <c r="L25" s="36"/>
      <c r="M25" s="37"/>
      <c r="N25" s="35"/>
      <c r="O25" s="36"/>
      <c r="P25" s="37"/>
      <c r="S25" s="57"/>
    </row>
    <row r="26" spans="1:19" x14ac:dyDescent="0.25">
      <c r="A26" s="3"/>
      <c r="B26" s="3" t="s">
        <v>22</v>
      </c>
      <c r="C26" s="3"/>
      <c r="H26" s="35"/>
      <c r="I26" s="36"/>
      <c r="J26" s="37"/>
      <c r="K26" s="35"/>
      <c r="L26" s="36"/>
      <c r="M26" s="37"/>
      <c r="N26" s="35"/>
      <c r="O26" s="36"/>
      <c r="P26" s="37"/>
      <c r="S26" s="57"/>
    </row>
    <row r="27" spans="1:19" x14ac:dyDescent="0.25">
      <c r="A27" s="1">
        <v>4010</v>
      </c>
      <c r="B27" t="s">
        <v>23</v>
      </c>
      <c r="E27" t="s">
        <v>104</v>
      </c>
      <c r="H27" s="35"/>
      <c r="I27" s="36"/>
      <c r="J27" s="37">
        <v>-25000</v>
      </c>
      <c r="K27" s="35"/>
      <c r="L27" s="36"/>
      <c r="M27" s="37">
        <v>-40000</v>
      </c>
      <c r="N27" s="35"/>
      <c r="O27" s="36"/>
      <c r="P27" s="37">
        <v>-25000</v>
      </c>
      <c r="S27" s="57"/>
    </row>
    <row r="28" spans="1:19" x14ac:dyDescent="0.25">
      <c r="A28" s="1">
        <v>4020</v>
      </c>
      <c r="B28" t="s">
        <v>24</v>
      </c>
      <c r="E28" t="s">
        <v>105</v>
      </c>
      <c r="H28" s="35"/>
      <c r="I28" s="36"/>
      <c r="J28" s="37">
        <v>-630000</v>
      </c>
      <c r="K28" s="35"/>
      <c r="L28" s="36"/>
      <c r="M28" s="37">
        <v>-630000</v>
      </c>
      <c r="N28" s="35"/>
      <c r="O28" s="36"/>
      <c r="P28" s="52">
        <v>-630000</v>
      </c>
      <c r="S28" s="57"/>
    </row>
    <row r="29" spans="1:19" x14ac:dyDescent="0.25">
      <c r="A29" s="1">
        <v>4030</v>
      </c>
      <c r="B29" t="s">
        <v>25</v>
      </c>
      <c r="E29" t="s">
        <v>100</v>
      </c>
      <c r="H29" s="35"/>
      <c r="I29" s="36"/>
      <c r="J29" s="37">
        <v>-276000</v>
      </c>
      <c r="K29" s="35"/>
      <c r="L29" s="36"/>
      <c r="M29" s="37">
        <v>-360000</v>
      </c>
      <c r="N29" s="35"/>
      <c r="O29" s="36"/>
      <c r="P29" s="52">
        <v>-350000</v>
      </c>
      <c r="S29" s="57">
        <v>-300000</v>
      </c>
    </row>
    <row r="30" spans="1:19" x14ac:dyDescent="0.25">
      <c r="A30" s="1">
        <v>4031</v>
      </c>
      <c r="B30" t="s">
        <v>26</v>
      </c>
      <c r="E30" t="s">
        <v>100</v>
      </c>
      <c r="H30" s="35"/>
      <c r="I30" s="36"/>
      <c r="J30" s="37">
        <v>-496594.59</v>
      </c>
      <c r="K30" s="35"/>
      <c r="L30" s="36"/>
      <c r="M30" s="37">
        <v>-550000</v>
      </c>
      <c r="N30" s="35"/>
      <c r="O30" s="36"/>
      <c r="P30" s="52">
        <v>-150000</v>
      </c>
      <c r="S30" s="57"/>
    </row>
    <row r="31" spans="1:19" x14ac:dyDescent="0.25">
      <c r="A31" s="1">
        <v>4032</v>
      </c>
      <c r="B31" t="s">
        <v>126</v>
      </c>
      <c r="E31" t="s">
        <v>101</v>
      </c>
      <c r="H31" s="42" t="s">
        <v>78</v>
      </c>
      <c r="I31" s="36"/>
      <c r="J31" s="37">
        <v>0</v>
      </c>
      <c r="K31" s="35"/>
      <c r="L31" s="36"/>
      <c r="M31" s="37">
        <v>-50000</v>
      </c>
      <c r="N31" s="35"/>
      <c r="O31" s="36"/>
      <c r="P31" s="37">
        <v>-75000</v>
      </c>
      <c r="S31" s="57"/>
    </row>
    <row r="32" spans="1:19" x14ac:dyDescent="0.25">
      <c r="A32" s="1">
        <v>4040</v>
      </c>
      <c r="B32" t="s">
        <v>27</v>
      </c>
      <c r="E32" t="s">
        <v>101</v>
      </c>
      <c r="H32" s="38" t="s">
        <v>80</v>
      </c>
      <c r="I32" s="53"/>
      <c r="J32" s="40">
        <v>-214094</v>
      </c>
      <c r="K32" s="41"/>
      <c r="L32" s="39"/>
      <c r="M32" s="40">
        <v>-974000</v>
      </c>
      <c r="N32" s="54"/>
      <c r="O32" s="39"/>
      <c r="P32" s="40">
        <v>-250000</v>
      </c>
      <c r="Q32" s="22">
        <v>250000</v>
      </c>
      <c r="S32" s="57"/>
    </row>
    <row r="33" spans="1:20" x14ac:dyDescent="0.25">
      <c r="A33" s="1">
        <v>4041</v>
      </c>
      <c r="B33" t="s">
        <v>28</v>
      </c>
      <c r="E33" t="s">
        <v>102</v>
      </c>
      <c r="H33" s="38" t="s">
        <v>80</v>
      </c>
      <c r="I33" s="39"/>
      <c r="J33" s="40">
        <v>-358302</v>
      </c>
      <c r="K33" s="41"/>
      <c r="L33" s="39"/>
      <c r="M33" s="40">
        <v>0</v>
      </c>
      <c r="N33" s="55"/>
      <c r="O33" s="56"/>
      <c r="P33" s="40">
        <v>-150000</v>
      </c>
      <c r="Q33" s="23">
        <v>150000</v>
      </c>
      <c r="R33" s="6"/>
      <c r="S33" s="57"/>
    </row>
    <row r="34" spans="1:20" x14ac:dyDescent="0.25">
      <c r="A34" s="1">
        <v>4042</v>
      </c>
      <c r="B34" t="s">
        <v>120</v>
      </c>
      <c r="E34" t="s">
        <v>101</v>
      </c>
      <c r="H34" s="80" t="s">
        <v>80</v>
      </c>
      <c r="I34" s="61"/>
      <c r="J34" s="59">
        <v>0</v>
      </c>
      <c r="K34" s="60"/>
      <c r="L34" s="61"/>
      <c r="M34" s="59">
        <v>-220000</v>
      </c>
      <c r="N34" s="56"/>
      <c r="O34" s="56"/>
      <c r="P34" s="40">
        <v>-245000</v>
      </c>
      <c r="Q34" s="15"/>
      <c r="R34" s="6"/>
      <c r="S34" s="57"/>
    </row>
    <row r="35" spans="1:20" x14ac:dyDescent="0.25">
      <c r="A35" s="1">
        <v>4049</v>
      </c>
      <c r="B35" t="s">
        <v>29</v>
      </c>
      <c r="E35" t="s">
        <v>106</v>
      </c>
      <c r="H35" s="42" t="s">
        <v>81</v>
      </c>
      <c r="I35" s="36"/>
      <c r="J35" s="37">
        <v>-292447</v>
      </c>
      <c r="K35" s="35"/>
      <c r="L35" s="36"/>
      <c r="M35" s="37">
        <v>0</v>
      </c>
      <c r="N35" s="57"/>
      <c r="O35" s="57"/>
      <c r="P35" s="37">
        <v>0</v>
      </c>
      <c r="Q35" s="10"/>
      <c r="R35" s="11"/>
      <c r="S35" s="57"/>
    </row>
    <row r="36" spans="1:20" x14ac:dyDescent="0.25">
      <c r="A36" s="1">
        <v>4540</v>
      </c>
      <c r="B36" t="s">
        <v>30</v>
      </c>
      <c r="E36" t="s">
        <v>100</v>
      </c>
      <c r="H36" s="42" t="s">
        <v>82</v>
      </c>
      <c r="I36" s="36"/>
      <c r="J36" s="37">
        <v>-250000</v>
      </c>
      <c r="K36" s="35"/>
      <c r="L36" s="36"/>
      <c r="M36" s="37">
        <v>-100000</v>
      </c>
      <c r="N36" s="35"/>
      <c r="O36" s="36"/>
      <c r="P36" s="37">
        <v>-300000</v>
      </c>
      <c r="S36" s="57">
        <v>-300000</v>
      </c>
      <c r="T36" t="s">
        <v>127</v>
      </c>
    </row>
    <row r="37" spans="1:20" x14ac:dyDescent="0.25">
      <c r="A37" s="1">
        <v>4560</v>
      </c>
      <c r="B37" t="s">
        <v>31</v>
      </c>
      <c r="E37" t="s">
        <v>107</v>
      </c>
      <c r="H37" s="42" t="s">
        <v>82</v>
      </c>
      <c r="I37" s="58"/>
      <c r="J37" s="37">
        <v>0</v>
      </c>
      <c r="K37" s="35"/>
      <c r="L37" s="36"/>
      <c r="M37" s="37">
        <v>-10000</v>
      </c>
      <c r="N37" s="35"/>
      <c r="O37" s="36"/>
      <c r="P37" s="37">
        <v>-10000</v>
      </c>
      <c r="S37" s="57"/>
    </row>
    <row r="38" spans="1:20" x14ac:dyDescent="0.25">
      <c r="A38" s="1">
        <v>4590</v>
      </c>
      <c r="B38" t="s">
        <v>32</v>
      </c>
      <c r="E38" t="s">
        <v>108</v>
      </c>
      <c r="H38" s="42" t="s">
        <v>83</v>
      </c>
      <c r="I38" s="36"/>
      <c r="J38" s="37">
        <v>-32252</v>
      </c>
      <c r="K38" s="35"/>
      <c r="L38" s="36"/>
      <c r="M38" s="37">
        <v>-10000</v>
      </c>
      <c r="N38" s="35"/>
      <c r="O38" s="36"/>
      <c r="P38" s="37">
        <v>-35000</v>
      </c>
      <c r="S38" s="57">
        <v>-10000</v>
      </c>
      <c r="T38" t="s">
        <v>128</v>
      </c>
    </row>
    <row r="39" spans="1:20" x14ac:dyDescent="0.25">
      <c r="A39" s="3"/>
      <c r="B39" s="3" t="s">
        <v>33</v>
      </c>
      <c r="C39" s="3"/>
      <c r="D39" s="3"/>
      <c r="E39" s="3"/>
      <c r="F39" s="3"/>
      <c r="G39" s="3"/>
      <c r="H39" s="43"/>
      <c r="I39" s="44">
        <f>SUM(J27:J38)</f>
        <v>-2574689.59</v>
      </c>
      <c r="J39" s="45"/>
      <c r="K39" s="43"/>
      <c r="L39" s="44">
        <f>SUM(M27:M38)</f>
        <v>-2944000</v>
      </c>
      <c r="M39" s="45"/>
      <c r="N39" s="35"/>
      <c r="O39" s="44">
        <f>SUM(P27:P38)</f>
        <v>-2220000</v>
      </c>
      <c r="P39" s="45"/>
      <c r="S39" s="57"/>
    </row>
    <row r="40" spans="1:20" x14ac:dyDescent="0.25">
      <c r="A40" s="3"/>
      <c r="B40" s="3" t="s">
        <v>34</v>
      </c>
      <c r="C40" s="3"/>
      <c r="D40" s="3"/>
      <c r="E40" s="3"/>
      <c r="F40" s="3"/>
      <c r="G40" s="3"/>
      <c r="H40" s="43"/>
      <c r="I40" s="44"/>
      <c r="J40" s="45"/>
      <c r="K40" s="43"/>
      <c r="L40" s="44"/>
      <c r="M40" s="45"/>
      <c r="N40" s="35"/>
      <c r="O40" s="36"/>
      <c r="P40" s="37"/>
      <c r="S40" s="57"/>
    </row>
    <row r="41" spans="1:20" x14ac:dyDescent="0.25">
      <c r="A41" s="12"/>
      <c r="B41" s="8"/>
      <c r="C41" s="3"/>
      <c r="D41" s="3"/>
      <c r="E41" s="3"/>
      <c r="H41" s="43"/>
      <c r="I41" s="44"/>
      <c r="J41" s="45"/>
      <c r="K41" s="43"/>
      <c r="L41" s="44"/>
      <c r="M41" s="45"/>
      <c r="N41" s="35"/>
      <c r="O41" s="36"/>
      <c r="P41" s="59"/>
      <c r="S41" s="57"/>
    </row>
    <row r="42" spans="1:20" x14ac:dyDescent="0.25">
      <c r="A42" s="1">
        <v>5010</v>
      </c>
      <c r="B42" t="s">
        <v>35</v>
      </c>
      <c r="E42" t="s">
        <v>102</v>
      </c>
      <c r="H42" s="42" t="s">
        <v>84</v>
      </c>
      <c r="I42" s="36"/>
      <c r="J42" s="37">
        <v>-141774</v>
      </c>
      <c r="K42" s="35"/>
      <c r="L42" s="36"/>
      <c r="M42" s="37">
        <v>-85000</v>
      </c>
      <c r="N42" s="35"/>
      <c r="O42" s="36"/>
      <c r="P42" s="59">
        <v>-90000</v>
      </c>
      <c r="S42" s="57"/>
    </row>
    <row r="43" spans="1:20" x14ac:dyDescent="0.25">
      <c r="A43" s="1">
        <v>5011</v>
      </c>
      <c r="B43" t="s">
        <v>91</v>
      </c>
      <c r="E43" t="s">
        <v>102</v>
      </c>
      <c r="H43" s="42"/>
      <c r="I43" s="36"/>
      <c r="J43" s="37">
        <v>-36314</v>
      </c>
      <c r="K43" s="35"/>
      <c r="L43" s="36"/>
      <c r="M43" s="37">
        <v>-15000</v>
      </c>
      <c r="N43" s="35"/>
      <c r="O43" s="36"/>
      <c r="P43" s="59">
        <v>-40000</v>
      </c>
      <c r="S43" s="57"/>
    </row>
    <row r="44" spans="1:20" x14ac:dyDescent="0.25">
      <c r="A44" s="1">
        <v>5090</v>
      </c>
      <c r="B44" t="s">
        <v>99</v>
      </c>
      <c r="E44" t="s">
        <v>102</v>
      </c>
      <c r="H44" s="42"/>
      <c r="I44" s="36"/>
      <c r="J44" s="37">
        <v>-5580</v>
      </c>
      <c r="K44" s="35"/>
      <c r="L44" s="36"/>
      <c r="M44" s="37">
        <v>0</v>
      </c>
      <c r="N44" s="35"/>
      <c r="O44" s="36"/>
      <c r="P44" s="59">
        <v>-12000</v>
      </c>
      <c r="S44" s="57" t="s">
        <v>129</v>
      </c>
    </row>
    <row r="45" spans="1:20" x14ac:dyDescent="0.25">
      <c r="A45" s="1">
        <v>5410</v>
      </c>
      <c r="B45" t="s">
        <v>36</v>
      </c>
      <c r="E45" t="s">
        <v>102</v>
      </c>
      <c r="H45" s="35"/>
      <c r="I45" s="36"/>
      <c r="J45" s="37">
        <v>-46375</v>
      </c>
      <c r="K45" s="35"/>
      <c r="L45" s="36"/>
      <c r="M45" s="37">
        <v>-10000</v>
      </c>
      <c r="N45" s="35"/>
      <c r="O45" s="36"/>
      <c r="P45" s="59">
        <v>-15000</v>
      </c>
      <c r="S45" s="57"/>
    </row>
    <row r="46" spans="1:20" x14ac:dyDescent="0.25">
      <c r="A46" s="1">
        <v>5420</v>
      </c>
      <c r="B46" t="s">
        <v>37</v>
      </c>
      <c r="E46" t="s">
        <v>102</v>
      </c>
      <c r="H46" s="35"/>
      <c r="I46" s="36"/>
      <c r="J46" s="37">
        <v>-1084</v>
      </c>
      <c r="K46" s="35"/>
      <c r="L46" s="36"/>
      <c r="M46" s="37">
        <v>-5000</v>
      </c>
      <c r="N46" s="35"/>
      <c r="O46" s="36"/>
      <c r="P46" s="59">
        <v>-5000</v>
      </c>
      <c r="S46" s="57"/>
    </row>
    <row r="47" spans="1:20" x14ac:dyDescent="0.25">
      <c r="A47" s="1">
        <v>5800</v>
      </c>
      <c r="B47" t="s">
        <v>38</v>
      </c>
      <c r="E47" t="s">
        <v>109</v>
      </c>
      <c r="H47" s="35"/>
      <c r="I47" s="36"/>
      <c r="J47" s="37">
        <v>-529926.62</v>
      </c>
      <c r="K47" s="35"/>
      <c r="L47" s="36"/>
      <c r="M47" s="37">
        <v>-600000</v>
      </c>
      <c r="N47" s="35"/>
      <c r="O47" s="36"/>
      <c r="P47" s="37">
        <v>-400000</v>
      </c>
      <c r="S47" s="57"/>
    </row>
    <row r="48" spans="1:20" x14ac:dyDescent="0.25">
      <c r="A48" s="1">
        <v>5801</v>
      </c>
      <c r="B48" t="s">
        <v>110</v>
      </c>
      <c r="H48" s="42" t="s">
        <v>89</v>
      </c>
      <c r="I48" s="36"/>
      <c r="J48" s="37">
        <v>-54685</v>
      </c>
      <c r="K48" s="35"/>
      <c r="L48" s="36"/>
      <c r="M48" s="37">
        <v>-100000</v>
      </c>
      <c r="N48" s="35"/>
      <c r="O48" s="36"/>
      <c r="P48" s="37">
        <v>-75000</v>
      </c>
      <c r="S48" s="57"/>
    </row>
    <row r="49" spans="1:19" x14ac:dyDescent="0.25">
      <c r="A49" s="1">
        <v>5802</v>
      </c>
      <c r="B49" t="s">
        <v>39</v>
      </c>
      <c r="E49" t="s">
        <v>101</v>
      </c>
      <c r="H49" s="38" t="s">
        <v>80</v>
      </c>
      <c r="I49" s="39"/>
      <c r="J49" s="40">
        <v>-274806.03999999998</v>
      </c>
      <c r="K49" s="41"/>
      <c r="L49" s="39"/>
      <c r="M49" s="40">
        <v>0</v>
      </c>
      <c r="N49" s="55"/>
      <c r="O49" s="56"/>
      <c r="P49" s="40">
        <v>-350000</v>
      </c>
      <c r="Q49" s="24">
        <v>300000</v>
      </c>
      <c r="R49" s="11"/>
      <c r="S49" s="57"/>
    </row>
    <row r="50" spans="1:19" x14ac:dyDescent="0.25">
      <c r="A50" s="1">
        <v>5803</v>
      </c>
      <c r="B50" t="s">
        <v>111</v>
      </c>
      <c r="H50" s="38" t="s">
        <v>80</v>
      </c>
      <c r="I50" s="39"/>
      <c r="J50" s="40">
        <v>-36224</v>
      </c>
      <c r="K50" s="41"/>
      <c r="L50" s="39"/>
      <c r="M50" s="40">
        <v>0</v>
      </c>
      <c r="N50" s="55"/>
      <c r="O50" s="56"/>
      <c r="P50" s="40">
        <v>-50000</v>
      </c>
      <c r="Q50" s="24">
        <v>50000</v>
      </c>
      <c r="R50" s="11"/>
      <c r="S50" s="57"/>
    </row>
    <row r="51" spans="1:19" x14ac:dyDescent="0.25">
      <c r="A51" s="1">
        <v>5805</v>
      </c>
      <c r="B51" t="s">
        <v>40</v>
      </c>
      <c r="E51" t="s">
        <v>100</v>
      </c>
      <c r="H51" s="42" t="s">
        <v>85</v>
      </c>
      <c r="I51" s="36"/>
      <c r="J51" s="37">
        <v>-206419</v>
      </c>
      <c r="K51" s="35"/>
      <c r="L51" s="36"/>
      <c r="M51" s="37">
        <v>-200000</v>
      </c>
      <c r="N51" s="35"/>
      <c r="O51" s="36"/>
      <c r="P51" s="37">
        <v>-50000</v>
      </c>
      <c r="S51" s="57"/>
    </row>
    <row r="52" spans="1:19" x14ac:dyDescent="0.25">
      <c r="A52" s="1">
        <v>5808</v>
      </c>
      <c r="B52" t="s">
        <v>41</v>
      </c>
      <c r="E52" t="s">
        <v>100</v>
      </c>
      <c r="H52" s="35"/>
      <c r="I52" s="36"/>
      <c r="J52" s="37">
        <v>-105824</v>
      </c>
      <c r="K52" s="35"/>
      <c r="L52" s="36"/>
      <c r="M52" s="37">
        <v>-100000</v>
      </c>
      <c r="N52" s="35"/>
      <c r="O52" s="36"/>
      <c r="P52" s="37">
        <v>-100000</v>
      </c>
      <c r="S52" s="57"/>
    </row>
    <row r="53" spans="1:19" x14ac:dyDescent="0.25">
      <c r="A53" s="1">
        <v>5990</v>
      </c>
      <c r="B53" t="s">
        <v>42</v>
      </c>
      <c r="E53" t="s">
        <v>102</v>
      </c>
      <c r="H53" s="35"/>
      <c r="I53" s="36"/>
      <c r="J53" s="59">
        <v>-14707</v>
      </c>
      <c r="K53" s="60"/>
      <c r="L53" s="61"/>
      <c r="M53" s="62">
        <v>0</v>
      </c>
      <c r="N53" s="63"/>
      <c r="O53" s="64"/>
      <c r="P53" s="62">
        <v>-10000</v>
      </c>
      <c r="S53" s="57"/>
    </row>
    <row r="54" spans="1:19" x14ac:dyDescent="0.25">
      <c r="A54" s="1">
        <v>6090</v>
      </c>
      <c r="B54" t="s">
        <v>43</v>
      </c>
      <c r="E54" t="s">
        <v>106</v>
      </c>
      <c r="H54" s="42" t="s">
        <v>75</v>
      </c>
      <c r="I54" s="58"/>
      <c r="J54" s="59">
        <v>-63170</v>
      </c>
      <c r="K54" s="60"/>
      <c r="L54" s="61"/>
      <c r="M54" s="62">
        <v>0</v>
      </c>
      <c r="N54" s="63"/>
      <c r="O54" s="64"/>
      <c r="P54" s="62">
        <v>-10000</v>
      </c>
      <c r="S54" s="57"/>
    </row>
    <row r="55" spans="1:19" x14ac:dyDescent="0.25">
      <c r="A55" s="1">
        <v>6110</v>
      </c>
      <c r="B55" t="s">
        <v>44</v>
      </c>
      <c r="E55" t="s">
        <v>102</v>
      </c>
      <c r="H55" s="35"/>
      <c r="I55" s="36"/>
      <c r="J55" s="37">
        <v>-27936</v>
      </c>
      <c r="K55" s="35"/>
      <c r="L55" s="36"/>
      <c r="M55" s="37">
        <v>-35000</v>
      </c>
      <c r="N55" s="35"/>
      <c r="O55" s="36"/>
      <c r="P55" s="37">
        <v>-25000</v>
      </c>
      <c r="S55" s="57"/>
    </row>
    <row r="56" spans="1:19" x14ac:dyDescent="0.25">
      <c r="A56" s="1">
        <v>6150</v>
      </c>
      <c r="B56" t="s">
        <v>45</v>
      </c>
      <c r="E56" t="s">
        <v>102</v>
      </c>
      <c r="H56" s="35"/>
      <c r="I56" s="36"/>
      <c r="J56" s="37">
        <v>-1789</v>
      </c>
      <c r="K56" s="35"/>
      <c r="L56" s="36"/>
      <c r="M56" s="37">
        <v>0</v>
      </c>
      <c r="N56" s="35"/>
      <c r="O56" s="36"/>
      <c r="P56" s="37">
        <v>-3000</v>
      </c>
      <c r="S56" s="57"/>
    </row>
    <row r="57" spans="1:19" x14ac:dyDescent="0.25">
      <c r="A57" s="1">
        <v>6210</v>
      </c>
      <c r="B57" t="s">
        <v>46</v>
      </c>
      <c r="E57" t="s">
        <v>102</v>
      </c>
      <c r="H57" s="35"/>
      <c r="I57" s="36"/>
      <c r="J57" s="37">
        <v>-5570</v>
      </c>
      <c r="K57" s="35"/>
      <c r="L57" s="36"/>
      <c r="M57" s="37">
        <v>-5000</v>
      </c>
      <c r="N57" s="35"/>
      <c r="O57" s="36"/>
      <c r="P57" s="37">
        <v>-10000</v>
      </c>
      <c r="S57" s="57">
        <v>-10000</v>
      </c>
    </row>
    <row r="58" spans="1:19" x14ac:dyDescent="0.25">
      <c r="A58" s="1">
        <v>6230</v>
      </c>
      <c r="B58" t="s">
        <v>47</v>
      </c>
      <c r="E58" t="s">
        <v>102</v>
      </c>
      <c r="H58" s="35"/>
      <c r="I58" s="36"/>
      <c r="J58" s="37">
        <v>-5451.25</v>
      </c>
      <c r="K58" s="35"/>
      <c r="L58" s="36"/>
      <c r="M58" s="37">
        <v>-5000</v>
      </c>
      <c r="N58" s="35"/>
      <c r="O58" s="36"/>
      <c r="P58" s="37">
        <v>-5000</v>
      </c>
      <c r="S58" s="57">
        <v>-5000</v>
      </c>
    </row>
    <row r="59" spans="1:19" x14ac:dyDescent="0.25">
      <c r="A59" s="1">
        <v>6250</v>
      </c>
      <c r="B59" t="s">
        <v>48</v>
      </c>
      <c r="E59" t="s">
        <v>102</v>
      </c>
      <c r="H59" s="35"/>
      <c r="I59" s="36"/>
      <c r="J59" s="37">
        <v>-13337.1</v>
      </c>
      <c r="K59" s="35"/>
      <c r="L59" s="36"/>
      <c r="M59" s="37">
        <v>-20000</v>
      </c>
      <c r="N59" s="35"/>
      <c r="O59" s="36"/>
      <c r="P59" s="59">
        <v>-15000</v>
      </c>
      <c r="S59" s="57"/>
    </row>
    <row r="60" spans="1:19" x14ac:dyDescent="0.25">
      <c r="A60" s="1">
        <v>6310</v>
      </c>
      <c r="B60" t="s">
        <v>49</v>
      </c>
      <c r="E60" t="s">
        <v>102</v>
      </c>
      <c r="H60" s="35"/>
      <c r="I60" s="36"/>
      <c r="J60" s="37">
        <v>-15103</v>
      </c>
      <c r="K60" s="35"/>
      <c r="L60" s="36"/>
      <c r="M60" s="37">
        <v>-20000</v>
      </c>
      <c r="N60" s="35"/>
      <c r="O60" s="36"/>
      <c r="P60" s="59">
        <v>-45000</v>
      </c>
      <c r="S60" s="57"/>
    </row>
    <row r="61" spans="1:19" x14ac:dyDescent="0.25">
      <c r="A61" s="1">
        <v>6410</v>
      </c>
      <c r="B61" t="s">
        <v>50</v>
      </c>
      <c r="E61" t="s">
        <v>102</v>
      </c>
      <c r="H61" s="35"/>
      <c r="I61" s="36"/>
      <c r="J61" s="37">
        <v>-28665</v>
      </c>
      <c r="K61" s="35"/>
      <c r="L61" s="36"/>
      <c r="M61" s="37">
        <v>-65000</v>
      </c>
      <c r="N61" s="35"/>
      <c r="O61" s="36"/>
      <c r="P61" s="59">
        <v>-65000</v>
      </c>
      <c r="S61" s="57"/>
    </row>
    <row r="62" spans="1:19" x14ac:dyDescent="0.25">
      <c r="A62" s="1">
        <v>6420</v>
      </c>
      <c r="B62" t="s">
        <v>51</v>
      </c>
      <c r="E62" t="s">
        <v>102</v>
      </c>
      <c r="H62" s="35"/>
      <c r="I62" s="36"/>
      <c r="J62" s="37">
        <v>-23281</v>
      </c>
      <c r="K62" s="35"/>
      <c r="L62" s="36"/>
      <c r="M62" s="37">
        <v>-30000</v>
      </c>
      <c r="N62" s="35"/>
      <c r="O62" s="36"/>
      <c r="P62" s="59">
        <v>-25000</v>
      </c>
      <c r="S62" s="57"/>
    </row>
    <row r="63" spans="1:19" x14ac:dyDescent="0.25">
      <c r="A63" s="1">
        <v>6530</v>
      </c>
      <c r="B63" t="s">
        <v>52</v>
      </c>
      <c r="E63" t="s">
        <v>102</v>
      </c>
      <c r="H63" s="35"/>
      <c r="I63" s="36"/>
      <c r="J63" s="37">
        <v>-25000</v>
      </c>
      <c r="K63" s="35"/>
      <c r="L63" s="36"/>
      <c r="M63" s="37">
        <v>-10000</v>
      </c>
      <c r="N63" s="35"/>
      <c r="O63" s="36"/>
      <c r="P63" s="59">
        <v>-15000</v>
      </c>
      <c r="S63" s="57"/>
    </row>
    <row r="64" spans="1:19" x14ac:dyDescent="0.25">
      <c r="A64" s="1">
        <v>6540</v>
      </c>
      <c r="B64" t="s">
        <v>53</v>
      </c>
      <c r="E64" t="s">
        <v>112</v>
      </c>
      <c r="H64" s="42" t="s">
        <v>88</v>
      </c>
      <c r="I64" s="36"/>
      <c r="J64" s="37">
        <v>-62804.2</v>
      </c>
      <c r="K64" s="35"/>
      <c r="L64" s="36"/>
      <c r="M64" s="37">
        <v>-50000</v>
      </c>
      <c r="N64" s="35"/>
      <c r="O64" s="36"/>
      <c r="P64" s="59">
        <v>-65000</v>
      </c>
      <c r="S64" s="57"/>
    </row>
    <row r="65" spans="1:20" x14ac:dyDescent="0.25">
      <c r="A65" s="1">
        <v>6541</v>
      </c>
      <c r="B65" t="s">
        <v>86</v>
      </c>
      <c r="E65" t="s">
        <v>87</v>
      </c>
      <c r="H65" s="42" t="s">
        <v>87</v>
      </c>
      <c r="I65" s="36"/>
      <c r="J65" s="37">
        <v>0</v>
      </c>
      <c r="K65" s="35"/>
      <c r="L65" s="36"/>
      <c r="M65" s="37">
        <v>-100000</v>
      </c>
      <c r="N65" s="35"/>
      <c r="O65" s="36"/>
      <c r="P65" s="59">
        <v>0</v>
      </c>
      <c r="S65" s="57"/>
    </row>
    <row r="66" spans="1:20" x14ac:dyDescent="0.25">
      <c r="A66" s="1">
        <v>6550</v>
      </c>
      <c r="B66" t="s">
        <v>54</v>
      </c>
      <c r="E66" t="s">
        <v>102</v>
      </c>
      <c r="H66" s="60"/>
      <c r="I66" s="61"/>
      <c r="J66" s="59">
        <v>-835364</v>
      </c>
      <c r="K66" s="60"/>
      <c r="L66" s="61"/>
      <c r="M66" s="59">
        <v>-863200</v>
      </c>
      <c r="N66" s="54"/>
      <c r="O66" s="39"/>
      <c r="P66" s="40">
        <v>-455000</v>
      </c>
      <c r="Q66" s="25">
        <v>25000</v>
      </c>
      <c r="S66" s="57">
        <v>-455000</v>
      </c>
      <c r="T66" t="s">
        <v>131</v>
      </c>
    </row>
    <row r="67" spans="1:20" x14ac:dyDescent="0.25">
      <c r="A67" s="1">
        <v>6551</v>
      </c>
      <c r="B67" t="s">
        <v>55</v>
      </c>
      <c r="E67" t="s">
        <v>101</v>
      </c>
      <c r="H67" s="35"/>
      <c r="I67" s="36"/>
      <c r="J67" s="37">
        <v>-2054</v>
      </c>
      <c r="K67" s="35"/>
      <c r="L67" s="36"/>
      <c r="M67" s="37">
        <v>-5000</v>
      </c>
      <c r="N67" s="35"/>
      <c r="O67" s="36"/>
      <c r="P67" s="59">
        <v>0</v>
      </c>
      <c r="S67" s="57"/>
    </row>
    <row r="68" spans="1:20" x14ac:dyDescent="0.25">
      <c r="A68" s="1">
        <v>6552</v>
      </c>
      <c r="B68" t="s">
        <v>132</v>
      </c>
      <c r="E68" t="s">
        <v>101</v>
      </c>
      <c r="H68" s="35"/>
      <c r="I68" s="36"/>
      <c r="J68" s="37">
        <v>-74326</v>
      </c>
      <c r="K68" s="35"/>
      <c r="L68" s="36"/>
      <c r="M68" s="37">
        <v>-10000</v>
      </c>
      <c r="N68" s="35"/>
      <c r="O68" s="36"/>
      <c r="P68" s="59">
        <v>-25000</v>
      </c>
      <c r="S68" s="57"/>
    </row>
    <row r="69" spans="1:20" x14ac:dyDescent="0.25">
      <c r="A69" s="1">
        <v>6553</v>
      </c>
      <c r="B69" t="s">
        <v>56</v>
      </c>
      <c r="E69" t="s">
        <v>109</v>
      </c>
      <c r="H69" s="35"/>
      <c r="I69" s="36"/>
      <c r="J69" s="37">
        <v>0</v>
      </c>
      <c r="K69" s="35"/>
      <c r="L69" s="36"/>
      <c r="M69" s="37">
        <v>-100000</v>
      </c>
      <c r="N69" s="35"/>
      <c r="O69" s="36"/>
      <c r="P69" s="59">
        <v>0</v>
      </c>
      <c r="S69" s="57"/>
    </row>
    <row r="70" spans="1:20" x14ac:dyDescent="0.25">
      <c r="A70" s="1">
        <v>6570</v>
      </c>
      <c r="B70" t="s">
        <v>57</v>
      </c>
      <c r="H70" s="35"/>
      <c r="I70" s="36"/>
      <c r="J70" s="37">
        <v>-653</v>
      </c>
      <c r="K70" s="35"/>
      <c r="L70" s="36"/>
      <c r="M70" s="37">
        <v>-1000</v>
      </c>
      <c r="N70" s="35"/>
      <c r="O70" s="36"/>
      <c r="P70" s="37">
        <v>-1000</v>
      </c>
      <c r="S70" s="57">
        <v>-1000</v>
      </c>
    </row>
    <row r="71" spans="1:20" x14ac:dyDescent="0.25">
      <c r="A71" s="1">
        <v>6970</v>
      </c>
      <c r="B71" t="s">
        <v>113</v>
      </c>
      <c r="H71" s="35"/>
      <c r="I71" s="36"/>
      <c r="J71" s="37">
        <v>-3000</v>
      </c>
      <c r="K71" s="35"/>
      <c r="L71" s="36"/>
      <c r="M71" s="37">
        <v>-5000</v>
      </c>
      <c r="N71" s="35"/>
      <c r="O71" s="36"/>
      <c r="P71" s="37">
        <v>-5000</v>
      </c>
      <c r="S71" s="57">
        <v>-3000</v>
      </c>
    </row>
    <row r="72" spans="1:20" x14ac:dyDescent="0.25">
      <c r="A72" s="1">
        <v>6980</v>
      </c>
      <c r="B72" t="s">
        <v>58</v>
      </c>
      <c r="E72" t="s">
        <v>100</v>
      </c>
      <c r="H72" s="35"/>
      <c r="I72" s="36"/>
      <c r="J72" s="37">
        <v>-341577.13</v>
      </c>
      <c r="K72" s="35"/>
      <c r="L72" s="36"/>
      <c r="M72" s="37">
        <v>-375000</v>
      </c>
      <c r="N72" s="35"/>
      <c r="O72" s="36"/>
      <c r="P72" s="37">
        <v>-355000</v>
      </c>
      <c r="S72" s="57"/>
    </row>
    <row r="73" spans="1:20" x14ac:dyDescent="0.25">
      <c r="A73" s="1">
        <v>6981</v>
      </c>
      <c r="B73" t="s">
        <v>59</v>
      </c>
      <c r="E73" t="s">
        <v>102</v>
      </c>
      <c r="H73" s="35"/>
      <c r="I73" s="36"/>
      <c r="J73" s="37">
        <v>-4197</v>
      </c>
      <c r="K73" s="35"/>
      <c r="L73" s="36"/>
      <c r="M73" s="37">
        <v>-1000</v>
      </c>
      <c r="N73" s="35"/>
      <c r="O73" s="36"/>
      <c r="P73" s="59">
        <v>-4500</v>
      </c>
      <c r="S73" s="57"/>
    </row>
    <row r="74" spans="1:20" x14ac:dyDescent="0.25">
      <c r="A74" s="21">
        <v>6990</v>
      </c>
      <c r="B74" t="s">
        <v>34</v>
      </c>
      <c r="E74" t="s">
        <v>102</v>
      </c>
      <c r="H74" s="35"/>
      <c r="I74" s="36"/>
      <c r="J74" s="37">
        <v>-625</v>
      </c>
      <c r="K74" s="35"/>
      <c r="L74" s="36"/>
      <c r="M74" s="37"/>
      <c r="N74" s="35"/>
      <c r="O74" s="36"/>
      <c r="P74" s="59">
        <v>-500</v>
      </c>
      <c r="S74" s="57">
        <v>0</v>
      </c>
    </row>
    <row r="75" spans="1:20" x14ac:dyDescent="0.25">
      <c r="B75" s="3" t="s">
        <v>60</v>
      </c>
      <c r="C75" s="3"/>
      <c r="D75" s="3"/>
      <c r="E75" s="3"/>
      <c r="F75" s="3"/>
      <c r="G75" s="3"/>
      <c r="H75" s="43"/>
      <c r="I75" s="44">
        <f>SUM(J42:J73)</f>
        <v>-2986996.34</v>
      </c>
      <c r="J75" s="37"/>
      <c r="K75" s="43"/>
      <c r="L75" s="44">
        <f>SUM(M42:M73)</f>
        <v>-2815200</v>
      </c>
      <c r="M75" s="37"/>
      <c r="N75" s="35"/>
      <c r="O75" s="44">
        <f>SUM(P42:P74)</f>
        <v>-2326000</v>
      </c>
      <c r="P75" s="81"/>
      <c r="S75" s="57"/>
    </row>
    <row r="76" spans="1:20" x14ac:dyDescent="0.25">
      <c r="A76" s="1"/>
      <c r="B76" s="3" t="s">
        <v>92</v>
      </c>
      <c r="H76" s="35"/>
      <c r="I76" s="36"/>
      <c r="J76" s="37"/>
      <c r="K76" s="35"/>
      <c r="L76" s="36"/>
      <c r="M76" s="37"/>
      <c r="N76" s="35"/>
      <c r="O76" s="36"/>
      <c r="P76" s="59"/>
      <c r="S76" s="57"/>
    </row>
    <row r="77" spans="1:20" x14ac:dyDescent="0.25">
      <c r="A77" s="1"/>
      <c r="B77" s="3"/>
      <c r="H77" s="35"/>
      <c r="I77" s="36"/>
      <c r="J77" s="37"/>
      <c r="K77" s="35"/>
      <c r="L77" s="36"/>
      <c r="M77" s="37"/>
      <c r="N77" s="35"/>
      <c r="O77" s="36"/>
      <c r="P77" s="59"/>
      <c r="S77" s="57"/>
    </row>
    <row r="78" spans="1:20" x14ac:dyDescent="0.25">
      <c r="A78" s="1">
        <v>7210</v>
      </c>
      <c r="B78" s="8" t="s">
        <v>93</v>
      </c>
      <c r="H78" s="41"/>
      <c r="I78" s="39"/>
      <c r="J78" s="40">
        <f>-4275-19837-3950</f>
        <v>-28062</v>
      </c>
      <c r="K78" s="41"/>
      <c r="L78" s="39"/>
      <c r="M78" s="40">
        <v>-40000</v>
      </c>
      <c r="N78" s="54"/>
      <c r="O78" s="39"/>
      <c r="P78" s="59">
        <v>-600000</v>
      </c>
      <c r="Q78" s="25">
        <v>459000</v>
      </c>
      <c r="S78" s="57"/>
    </row>
    <row r="79" spans="1:20" x14ac:dyDescent="0.25">
      <c r="A79" s="1">
        <v>7510</v>
      </c>
      <c r="B79" s="8" t="s">
        <v>95</v>
      </c>
      <c r="C79" s="8"/>
      <c r="D79" s="8"/>
      <c r="H79" s="41"/>
      <c r="I79" s="39"/>
      <c r="J79" s="40">
        <f>-16941-23998-7030</f>
        <v>-47969</v>
      </c>
      <c r="K79" s="41"/>
      <c r="L79" s="39"/>
      <c r="M79" s="40">
        <v>-20000</v>
      </c>
      <c r="N79" s="54"/>
      <c r="O79" s="39"/>
      <c r="P79" s="59">
        <v>-200000</v>
      </c>
      <c r="Q79" s="25">
        <v>70000</v>
      </c>
      <c r="S79" s="57"/>
    </row>
    <row r="80" spans="1:20" x14ac:dyDescent="0.25">
      <c r="A80" s="1"/>
      <c r="B80" s="3" t="s">
        <v>94</v>
      </c>
      <c r="H80" s="35"/>
      <c r="I80" s="36"/>
      <c r="J80" s="45">
        <v>0</v>
      </c>
      <c r="K80" s="43"/>
      <c r="L80" s="44">
        <v>-60000</v>
      </c>
      <c r="M80" s="45"/>
      <c r="N80" s="43"/>
      <c r="O80" s="44">
        <f>SUM(P78:P79)</f>
        <v>-800000</v>
      </c>
      <c r="P80" s="81"/>
      <c r="Q80" s="26">
        <f>SUM(Q32:Q79)</f>
        <v>1304000</v>
      </c>
      <c r="S80" s="57"/>
    </row>
    <row r="81" spans="1:19" x14ac:dyDescent="0.25">
      <c r="H81" s="35"/>
      <c r="I81" s="36"/>
      <c r="J81" s="37"/>
      <c r="K81" s="35"/>
      <c r="L81" s="36"/>
      <c r="M81" s="37"/>
      <c r="N81" s="35"/>
      <c r="O81" s="36"/>
      <c r="P81" s="37"/>
      <c r="S81" s="57"/>
    </row>
    <row r="82" spans="1:19" x14ac:dyDescent="0.25">
      <c r="B82" s="3" t="s">
        <v>61</v>
      </c>
      <c r="C82" s="3"/>
      <c r="D82" s="3"/>
      <c r="E82" s="3"/>
      <c r="F82" s="3"/>
      <c r="G82" s="3"/>
      <c r="H82" s="43"/>
      <c r="I82" s="44"/>
      <c r="J82" s="45"/>
      <c r="K82" s="43"/>
      <c r="L82" s="44"/>
      <c r="M82" s="45"/>
      <c r="N82" s="35"/>
      <c r="O82" s="36"/>
      <c r="P82" s="37"/>
      <c r="S82" s="57"/>
    </row>
    <row r="83" spans="1:19" x14ac:dyDescent="0.25">
      <c r="A83" s="1">
        <v>7920</v>
      </c>
      <c r="B83" t="s">
        <v>62</v>
      </c>
      <c r="H83" s="35"/>
      <c r="I83" s="36"/>
      <c r="J83" s="37">
        <v>0</v>
      </c>
      <c r="K83" s="35"/>
      <c r="L83" s="36"/>
      <c r="M83" s="37">
        <v>-60000</v>
      </c>
      <c r="N83" s="35"/>
      <c r="O83" s="36"/>
      <c r="P83" s="59">
        <v>0</v>
      </c>
      <c r="S83" s="57"/>
    </row>
    <row r="84" spans="1:19" ht="15.75" thickBot="1" x14ac:dyDescent="0.3">
      <c r="B84" s="3" t="s">
        <v>63</v>
      </c>
      <c r="C84" s="3"/>
      <c r="D84" s="3"/>
      <c r="E84" s="3"/>
      <c r="F84" s="3"/>
      <c r="G84" s="3"/>
      <c r="H84" s="43"/>
      <c r="I84" s="44">
        <v>0</v>
      </c>
      <c r="J84" s="45"/>
      <c r="K84" s="43"/>
      <c r="L84" s="44">
        <v>-60000</v>
      </c>
      <c r="M84" s="37"/>
      <c r="N84" s="35"/>
      <c r="O84" s="44"/>
      <c r="P84" s="37"/>
      <c r="S84" s="57"/>
    </row>
    <row r="85" spans="1:19" ht="16.5" thickBot="1" x14ac:dyDescent="0.3">
      <c r="A85" s="16" t="s">
        <v>64</v>
      </c>
      <c r="B85" s="16"/>
      <c r="C85" s="16"/>
      <c r="D85" s="16"/>
      <c r="E85" s="16"/>
      <c r="F85" s="16"/>
      <c r="G85" s="16"/>
      <c r="H85" s="48">
        <f>SUM(J27:J84)</f>
        <v>-5638341.9299999997</v>
      </c>
      <c r="I85" s="51"/>
      <c r="J85" s="50"/>
      <c r="K85" s="48">
        <f>SUM(L27:L84)</f>
        <v>-5879200</v>
      </c>
      <c r="L85" s="51"/>
      <c r="M85" s="65"/>
      <c r="N85" s="48">
        <f>SUM(O27:O84)</f>
        <v>-5346000</v>
      </c>
      <c r="O85" s="49"/>
      <c r="P85" s="65"/>
      <c r="S85" s="57"/>
    </row>
    <row r="86" spans="1:19" ht="18.75" x14ac:dyDescent="0.3">
      <c r="A86" s="3" t="s">
        <v>90</v>
      </c>
      <c r="B86" s="3"/>
      <c r="C86" s="3"/>
      <c r="D86" s="3"/>
      <c r="E86" s="3"/>
      <c r="F86" s="3"/>
      <c r="H86" s="66">
        <f>SUM(H24:H85)</f>
        <v>-1020906.9299999997</v>
      </c>
      <c r="I86" s="67"/>
      <c r="J86" s="68"/>
      <c r="K86" s="66">
        <f>SUM(K24:K85)</f>
        <v>-1283200</v>
      </c>
      <c r="L86" s="67"/>
      <c r="M86" s="68"/>
      <c r="N86" s="66">
        <f>SUM(N24+N85)</f>
        <v>-323500</v>
      </c>
      <c r="O86" s="67"/>
      <c r="P86" s="68"/>
      <c r="S86" s="57"/>
    </row>
    <row r="87" spans="1:19" x14ac:dyDescent="0.25">
      <c r="A87" s="3" t="s">
        <v>65</v>
      </c>
      <c r="B87" s="3"/>
      <c r="C87" s="3"/>
      <c r="D87" s="3"/>
      <c r="E87" s="3"/>
      <c r="F87" s="3"/>
      <c r="H87" s="35"/>
      <c r="I87" s="36"/>
      <c r="J87" s="37"/>
      <c r="K87" s="35"/>
      <c r="L87" s="36"/>
      <c r="M87" s="37"/>
      <c r="N87" s="35"/>
      <c r="O87" s="36"/>
      <c r="P87" s="37"/>
      <c r="S87" s="57"/>
    </row>
    <row r="88" spans="1:19" x14ac:dyDescent="0.25">
      <c r="B88" s="3" t="s">
        <v>66</v>
      </c>
      <c r="C88" s="3"/>
      <c r="D88" s="3"/>
      <c r="E88" s="3"/>
      <c r="H88" s="35"/>
      <c r="I88" s="36"/>
      <c r="J88" s="37"/>
      <c r="K88" s="35"/>
      <c r="L88" s="36"/>
      <c r="M88" s="37"/>
      <c r="N88" s="35"/>
      <c r="O88" s="36"/>
      <c r="P88" s="37"/>
      <c r="S88" s="57"/>
    </row>
    <row r="89" spans="1:19" x14ac:dyDescent="0.25">
      <c r="A89" s="1">
        <v>8490</v>
      </c>
      <c r="B89" t="s">
        <v>67</v>
      </c>
      <c r="H89" s="35"/>
      <c r="I89" s="36"/>
      <c r="J89" s="37"/>
      <c r="K89" s="35"/>
      <c r="L89" s="36"/>
      <c r="M89" s="37">
        <v>-60</v>
      </c>
      <c r="N89" s="35"/>
      <c r="O89" s="36"/>
      <c r="P89" s="37"/>
      <c r="S89" s="57"/>
    </row>
    <row r="90" spans="1:19" x14ac:dyDescent="0.25">
      <c r="B90" s="3" t="s">
        <v>68</v>
      </c>
      <c r="C90" s="3"/>
      <c r="D90" s="3"/>
      <c r="E90" s="3"/>
      <c r="H90" s="35"/>
      <c r="I90" s="36"/>
      <c r="J90" s="45"/>
      <c r="K90" s="35"/>
      <c r="L90" s="44">
        <v>-60</v>
      </c>
      <c r="M90" s="44"/>
      <c r="N90" s="35"/>
      <c r="O90" s="36"/>
      <c r="P90" s="45"/>
      <c r="S90" s="57"/>
    </row>
    <row r="91" spans="1:19" x14ac:dyDescent="0.25">
      <c r="A91" s="3" t="s">
        <v>69</v>
      </c>
      <c r="B91" s="3"/>
      <c r="C91" s="3"/>
      <c r="H91" s="35"/>
      <c r="I91" s="44"/>
      <c r="J91" s="45"/>
      <c r="K91" s="35"/>
      <c r="L91" s="69"/>
      <c r="M91" s="37"/>
      <c r="N91" s="35"/>
      <c r="O91" s="44"/>
      <c r="P91" s="37"/>
      <c r="S91" s="57"/>
    </row>
    <row r="92" spans="1:19" ht="15.75" x14ac:dyDescent="0.25">
      <c r="A92" s="3" t="s">
        <v>70</v>
      </c>
      <c r="B92" s="3"/>
      <c r="C92" s="3"/>
      <c r="H92" s="70"/>
      <c r="I92" s="36"/>
      <c r="J92" s="37"/>
      <c r="K92" s="43"/>
      <c r="L92" s="36"/>
      <c r="M92" s="37"/>
      <c r="N92" s="43"/>
      <c r="O92" s="36"/>
      <c r="P92" s="37"/>
      <c r="S92" s="57"/>
    </row>
    <row r="93" spans="1:19" ht="16.5" thickBot="1" x14ac:dyDescent="0.3">
      <c r="A93" s="3" t="s">
        <v>71</v>
      </c>
      <c r="B93" s="3"/>
      <c r="C93" s="3"/>
      <c r="D93" s="3"/>
      <c r="E93" s="3"/>
      <c r="H93" s="70"/>
      <c r="I93" s="36"/>
      <c r="J93" s="37"/>
      <c r="K93" s="43"/>
      <c r="L93" s="36"/>
      <c r="M93" s="37"/>
      <c r="N93" s="43"/>
      <c r="O93" s="36"/>
      <c r="P93" s="37"/>
      <c r="S93" s="57"/>
    </row>
    <row r="94" spans="1:19" ht="21.75" thickBot="1" x14ac:dyDescent="0.4">
      <c r="A94" s="3" t="s">
        <v>72</v>
      </c>
      <c r="B94" s="3"/>
      <c r="H94" s="71"/>
      <c r="I94" s="72"/>
      <c r="J94" s="73"/>
      <c r="K94" s="74">
        <v>-1283260</v>
      </c>
      <c r="L94" s="72"/>
      <c r="M94" s="73"/>
      <c r="N94" s="74">
        <f>N86</f>
        <v>-323500</v>
      </c>
      <c r="O94" s="75"/>
      <c r="P94" s="76"/>
      <c r="Q94" s="28">
        <v>0</v>
      </c>
      <c r="S94" s="57"/>
    </row>
    <row r="95" spans="1:19" x14ac:dyDescent="0.25">
      <c r="H95" s="57"/>
      <c r="I95" s="57"/>
      <c r="J95" s="57"/>
      <c r="K95" s="57"/>
      <c r="L95" s="57"/>
      <c r="M95" s="57"/>
      <c r="N95" s="57"/>
      <c r="O95" s="57"/>
      <c r="P95" s="57"/>
      <c r="S95" s="57"/>
    </row>
    <row r="96" spans="1:19" x14ac:dyDescent="0.25">
      <c r="B96" t="s">
        <v>119</v>
      </c>
      <c r="H96" s="57"/>
      <c r="I96" s="57"/>
      <c r="J96" s="57"/>
      <c r="K96" s="57"/>
      <c r="L96" s="57"/>
      <c r="M96" s="57"/>
      <c r="N96" s="57"/>
      <c r="O96" s="57"/>
      <c r="P96" s="57">
        <v>-15000</v>
      </c>
      <c r="S96" s="57"/>
    </row>
    <row r="97" spans="1:20" x14ac:dyDescent="0.25">
      <c r="B97" t="s">
        <v>122</v>
      </c>
      <c r="H97" s="57"/>
      <c r="I97" s="57"/>
      <c r="J97" s="57"/>
      <c r="K97" s="57"/>
      <c r="L97" s="57"/>
      <c r="M97" s="57"/>
      <c r="N97" s="57"/>
      <c r="O97" s="69">
        <f>SUM(P96:P96)</f>
        <v>-15000</v>
      </c>
      <c r="P97" s="57"/>
      <c r="S97" s="57"/>
    </row>
    <row r="98" spans="1:20" ht="15.75" x14ac:dyDescent="0.25">
      <c r="A98" s="3" t="s">
        <v>123</v>
      </c>
      <c r="H98" s="77"/>
      <c r="I98" s="77"/>
      <c r="J98" s="77"/>
      <c r="K98" s="77"/>
      <c r="L98" s="77"/>
      <c r="M98" s="77"/>
      <c r="N98" s="78">
        <f>SUM(O97:O97)</f>
        <v>-15000</v>
      </c>
      <c r="O98" s="77"/>
      <c r="P98" s="77"/>
      <c r="Q98" s="19"/>
      <c r="R98" s="19"/>
      <c r="S98" s="77"/>
      <c r="T98" s="19"/>
    </row>
    <row r="99" spans="1:20" ht="23.25" x14ac:dyDescent="0.35">
      <c r="A99" s="30" t="s">
        <v>121</v>
      </c>
      <c r="H99" s="77"/>
      <c r="I99" s="77"/>
      <c r="J99" s="77"/>
      <c r="K99" s="77"/>
      <c r="L99" s="77"/>
      <c r="M99" s="77"/>
      <c r="N99" s="79">
        <f>SUM(N94:N98)</f>
        <v>-338500</v>
      </c>
      <c r="O99" s="77"/>
      <c r="P99" s="77"/>
      <c r="Q99" s="19"/>
      <c r="R99" s="19"/>
      <c r="S99" s="77"/>
      <c r="T99" s="19"/>
    </row>
    <row r="100" spans="1:20" x14ac:dyDescent="0.25">
      <c r="H100" s="19"/>
      <c r="I100" s="19"/>
      <c r="J100" s="19"/>
      <c r="K100" s="19"/>
      <c r="L100" s="19"/>
      <c r="M100" s="19"/>
      <c r="N100" s="3"/>
      <c r="O100" s="19"/>
      <c r="P100" s="19"/>
      <c r="Q100" s="19"/>
      <c r="R100" s="19"/>
      <c r="S100" s="77"/>
      <c r="T100" s="19"/>
    </row>
    <row r="101" spans="1:20" x14ac:dyDescent="0.25">
      <c r="A101" s="3" t="s">
        <v>114</v>
      </c>
      <c r="C101" t="s">
        <v>115</v>
      </c>
      <c r="H101" s="19"/>
      <c r="I101" s="19"/>
      <c r="J101" s="19">
        <v>997000</v>
      </c>
      <c r="K101" s="29"/>
      <c r="L101" s="29"/>
      <c r="M101" s="29" t="s">
        <v>116</v>
      </c>
      <c r="N101" s="29"/>
      <c r="O101" s="29"/>
      <c r="P101" s="29" t="s">
        <v>116</v>
      </c>
      <c r="Q101" s="19"/>
      <c r="R101" s="19"/>
      <c r="S101" s="19"/>
      <c r="T101" s="19"/>
    </row>
    <row r="102" spans="1:20" x14ac:dyDescent="0.25">
      <c r="D102" t="s">
        <v>124</v>
      </c>
      <c r="H102" s="19"/>
      <c r="I102" s="19"/>
      <c r="J102" s="31">
        <v>0</v>
      </c>
      <c r="K102" s="19"/>
      <c r="L102" s="19"/>
      <c r="M102" s="19"/>
      <c r="N102" s="19"/>
      <c r="O102" s="19"/>
      <c r="P102" s="19"/>
      <c r="Q102" s="19"/>
      <c r="R102" s="19"/>
      <c r="S102" s="19"/>
      <c r="T102" s="19"/>
    </row>
    <row r="103" spans="1:20" x14ac:dyDescent="0.25">
      <c r="C103" t="s">
        <v>125</v>
      </c>
      <c r="H103" s="19"/>
      <c r="I103" s="19"/>
      <c r="J103" s="19">
        <v>974000</v>
      </c>
      <c r="K103" s="19"/>
      <c r="L103" s="19"/>
      <c r="M103" s="19"/>
      <c r="N103" s="19"/>
      <c r="O103" s="19"/>
      <c r="P103" s="19"/>
      <c r="Q103" s="19"/>
      <c r="R103" s="19"/>
      <c r="S103" s="19"/>
      <c r="T103" s="19"/>
    </row>
    <row r="104" spans="1:20" ht="15.75" x14ac:dyDescent="0.25">
      <c r="H104" s="27"/>
      <c r="I104" s="27"/>
      <c r="J104" s="27"/>
      <c r="K104" s="27"/>
      <c r="L104" s="27"/>
      <c r="M104" s="27"/>
      <c r="N104" s="27"/>
      <c r="O104" s="27"/>
      <c r="P104" s="27"/>
      <c r="Q104" s="19"/>
      <c r="R104" s="19"/>
      <c r="S104" s="19"/>
      <c r="T104" s="19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760FC-08D1-4403-AA63-457FF7CA57B9}">
  <dimension ref="A1:XFC110"/>
  <sheetViews>
    <sheetView tabSelected="1" topLeftCell="A31" zoomScaleNormal="100" workbookViewId="0">
      <pane xSplit="1" topLeftCell="B1" activePane="topRight" state="frozen"/>
      <selection pane="topRight" activeCell="L40" sqref="L40"/>
    </sheetView>
  </sheetViews>
  <sheetFormatPr defaultRowHeight="15" x14ac:dyDescent="0.25"/>
  <cols>
    <col min="1" max="1" width="42" customWidth="1"/>
    <col min="2" max="2" width="13.42578125" customWidth="1"/>
    <col min="3" max="3" width="14.85546875" customWidth="1"/>
    <col min="4" max="4" width="12.42578125" hidden="1" customWidth="1"/>
    <col min="5" max="5" width="14.28515625" hidden="1" customWidth="1"/>
    <col min="6" max="6" width="18.5703125" hidden="1" customWidth="1"/>
    <col min="7" max="7" width="20.5703125" hidden="1" customWidth="1"/>
    <col min="8" max="8" width="13" hidden="1" customWidth="1"/>
    <col min="9" max="9" width="14.85546875" hidden="1" customWidth="1"/>
    <col min="10" max="10" width="27.85546875" style="57" hidden="1" customWidth="1"/>
    <col min="11" max="11" width="12" bestFit="1" customWidth="1"/>
    <col min="12" max="12" width="12.7109375" customWidth="1"/>
    <col min="13" max="13" width="11.5703125" bestFit="1" customWidth="1"/>
    <col min="14" max="14" width="12.42578125" customWidth="1"/>
  </cols>
  <sheetData>
    <row r="1" spans="1:14" ht="21" x14ac:dyDescent="0.35">
      <c r="A1" s="82" t="s">
        <v>223</v>
      </c>
    </row>
    <row r="2" spans="1:14" x14ac:dyDescent="0.25">
      <c r="B2" t="s">
        <v>139</v>
      </c>
      <c r="D2" t="s">
        <v>141</v>
      </c>
      <c r="F2" t="s">
        <v>164</v>
      </c>
      <c r="H2" t="s">
        <v>167</v>
      </c>
      <c r="J2"/>
      <c r="K2" t="s">
        <v>234</v>
      </c>
      <c r="M2" t="s">
        <v>228</v>
      </c>
    </row>
    <row r="3" spans="1:14" ht="15.75" thickBot="1" x14ac:dyDescent="0.3">
      <c r="A3" s="92" t="s">
        <v>8</v>
      </c>
      <c r="B3" s="93" t="s">
        <v>160</v>
      </c>
      <c r="C3" s="94" t="s">
        <v>161</v>
      </c>
      <c r="D3" s="96" t="s">
        <v>162</v>
      </c>
      <c r="E3" s="96" t="s">
        <v>163</v>
      </c>
      <c r="F3" s="96" t="s">
        <v>165</v>
      </c>
      <c r="G3" s="96" t="s">
        <v>166</v>
      </c>
      <c r="H3" s="96" t="s">
        <v>168</v>
      </c>
      <c r="I3" s="96" t="s">
        <v>169</v>
      </c>
      <c r="J3" s="7" t="s">
        <v>170</v>
      </c>
      <c r="K3" s="128" t="s">
        <v>229</v>
      </c>
      <c r="L3" s="129" t="s">
        <v>230</v>
      </c>
      <c r="M3" s="138" t="s">
        <v>231</v>
      </c>
      <c r="N3" s="139" t="s">
        <v>232</v>
      </c>
    </row>
    <row r="4" spans="1:14" ht="15.75" thickBot="1" x14ac:dyDescent="0.3">
      <c r="A4" s="89" t="s">
        <v>140</v>
      </c>
      <c r="B4" s="84">
        <v>2749000</v>
      </c>
      <c r="C4" s="84"/>
      <c r="D4" s="84">
        <v>2580000</v>
      </c>
      <c r="E4" s="84"/>
      <c r="F4" s="100">
        <v>3053000</v>
      </c>
      <c r="G4" s="100"/>
      <c r="H4" s="100">
        <v>3053000</v>
      </c>
      <c r="I4" s="100"/>
      <c r="J4" s="106"/>
      <c r="K4" s="130">
        <v>1374500</v>
      </c>
      <c r="L4" s="131"/>
      <c r="M4" s="140">
        <v>2749000</v>
      </c>
      <c r="N4" s="131"/>
    </row>
    <row r="5" spans="1:14" ht="15.75" thickBot="1" x14ac:dyDescent="0.3">
      <c r="A5" s="89" t="s">
        <v>142</v>
      </c>
      <c r="B5" s="84">
        <v>1210000</v>
      </c>
      <c r="C5" s="84"/>
      <c r="D5" s="84">
        <v>1150000</v>
      </c>
      <c r="E5" s="84"/>
      <c r="F5" s="100">
        <v>1304000</v>
      </c>
      <c r="G5" s="100"/>
      <c r="H5" s="100">
        <v>1304000</v>
      </c>
      <c r="I5" s="100"/>
      <c r="J5" s="100"/>
      <c r="K5" s="130">
        <v>605000</v>
      </c>
      <c r="L5" s="131"/>
      <c r="M5" s="141">
        <v>1210000</v>
      </c>
      <c r="N5" s="131"/>
    </row>
    <row r="6" spans="1:14" ht="15.75" thickBot="1" x14ac:dyDescent="0.3">
      <c r="A6" s="89" t="s">
        <v>143</v>
      </c>
      <c r="B6" s="84">
        <v>330000</v>
      </c>
      <c r="C6" s="84"/>
      <c r="D6" s="84">
        <v>280000</v>
      </c>
      <c r="E6" s="84"/>
      <c r="F6" s="100">
        <v>380000</v>
      </c>
      <c r="G6" s="100"/>
      <c r="H6" s="100">
        <v>380000</v>
      </c>
      <c r="I6" s="100"/>
      <c r="J6" s="100"/>
      <c r="K6" s="130">
        <v>165000</v>
      </c>
      <c r="L6" s="131"/>
      <c r="M6" s="140">
        <v>330000</v>
      </c>
      <c r="N6" s="131"/>
    </row>
    <row r="7" spans="1:14" ht="15.75" thickBot="1" x14ac:dyDescent="0.3">
      <c r="A7" s="89" t="s">
        <v>144</v>
      </c>
      <c r="B7" s="84">
        <v>320000</v>
      </c>
      <c r="C7" s="84"/>
      <c r="D7" s="84">
        <v>320000</v>
      </c>
      <c r="E7" s="84"/>
      <c r="F7" s="100"/>
      <c r="G7" s="100"/>
      <c r="H7" s="100"/>
      <c r="I7" s="100"/>
      <c r="J7" s="100"/>
      <c r="K7" s="130">
        <v>160000</v>
      </c>
      <c r="L7" s="131"/>
      <c r="M7" s="141">
        <v>320000</v>
      </c>
      <c r="N7" s="131"/>
    </row>
    <row r="8" spans="1:14" ht="15.75" thickBot="1" x14ac:dyDescent="0.3">
      <c r="A8" s="90" t="s">
        <v>145</v>
      </c>
      <c r="B8" s="84">
        <v>20000</v>
      </c>
      <c r="C8" s="84"/>
      <c r="D8" s="84"/>
      <c r="E8" s="84"/>
      <c r="F8" s="100"/>
      <c r="G8" s="100"/>
      <c r="H8" s="100"/>
      <c r="I8" s="100"/>
      <c r="J8" s="100"/>
      <c r="K8" s="130">
        <v>10000</v>
      </c>
      <c r="L8" s="131"/>
      <c r="M8" s="140">
        <v>20000</v>
      </c>
      <c r="N8" s="131"/>
    </row>
    <row r="9" spans="1:14" ht="15.75" thickBot="1" x14ac:dyDescent="0.3">
      <c r="A9" s="90" t="s">
        <v>146</v>
      </c>
      <c r="B9" s="84">
        <v>493000</v>
      </c>
      <c r="C9" s="84"/>
      <c r="D9" s="84">
        <v>493000</v>
      </c>
      <c r="E9" s="84"/>
      <c r="F9" s="100"/>
      <c r="G9" s="100"/>
      <c r="H9" s="100"/>
      <c r="I9" s="100"/>
      <c r="J9" s="100"/>
      <c r="K9" s="130">
        <v>246250</v>
      </c>
      <c r="L9" s="131"/>
      <c r="M9" s="141">
        <v>493000</v>
      </c>
      <c r="N9" s="131"/>
    </row>
    <row r="10" spans="1:14" ht="15.75" thickBot="1" x14ac:dyDescent="0.3">
      <c r="A10" s="89" t="s">
        <v>12</v>
      </c>
      <c r="B10" s="84">
        <v>100000</v>
      </c>
      <c r="C10" s="84"/>
      <c r="D10" s="84">
        <v>100000</v>
      </c>
      <c r="E10" s="84"/>
      <c r="F10" s="100">
        <v>183000</v>
      </c>
      <c r="G10" s="100"/>
      <c r="H10" s="100">
        <v>183000</v>
      </c>
      <c r="I10" s="100"/>
      <c r="J10" s="100"/>
      <c r="K10" s="130">
        <v>10000</v>
      </c>
      <c r="L10" s="131"/>
      <c r="M10" s="140">
        <v>70000</v>
      </c>
      <c r="N10" s="131"/>
    </row>
    <row r="11" spans="1:14" ht="15.75" thickBot="1" x14ac:dyDescent="0.3">
      <c r="A11" s="89" t="s">
        <v>13</v>
      </c>
      <c r="B11" s="84">
        <v>120000</v>
      </c>
      <c r="C11" s="84"/>
      <c r="D11" s="84">
        <v>5000</v>
      </c>
      <c r="E11" s="84"/>
      <c r="F11" s="100">
        <v>29340</v>
      </c>
      <c r="G11" s="100"/>
      <c r="H11" s="100">
        <v>29340</v>
      </c>
      <c r="I11" s="100"/>
      <c r="J11" s="100"/>
      <c r="K11" s="130">
        <v>300</v>
      </c>
      <c r="L11" s="131"/>
      <c r="M11" s="141">
        <v>40000</v>
      </c>
      <c r="N11" s="131"/>
    </row>
    <row r="12" spans="1:14" ht="15.75" thickBot="1" x14ac:dyDescent="0.3">
      <c r="A12" s="89" t="s">
        <v>14</v>
      </c>
      <c r="B12" s="84"/>
      <c r="C12" s="84"/>
      <c r="D12" s="84"/>
      <c r="E12" s="84"/>
      <c r="F12" s="100"/>
      <c r="G12" s="100"/>
      <c r="H12" s="100"/>
      <c r="I12" s="100"/>
      <c r="J12" s="100"/>
      <c r="K12" s="130"/>
      <c r="L12" s="131"/>
      <c r="M12" s="130"/>
      <c r="N12" s="131"/>
    </row>
    <row r="13" spans="1:14" ht="19.5" thickBot="1" x14ac:dyDescent="0.35">
      <c r="A13" s="89" t="s">
        <v>15</v>
      </c>
      <c r="B13" s="84">
        <v>8000</v>
      </c>
      <c r="C13" s="84"/>
      <c r="D13" s="84">
        <v>5000</v>
      </c>
      <c r="E13" s="84"/>
      <c r="F13" s="100">
        <v>16550</v>
      </c>
      <c r="G13" s="100"/>
      <c r="H13" s="100">
        <v>16550</v>
      </c>
      <c r="I13" s="100"/>
      <c r="J13" s="100"/>
      <c r="K13" s="130"/>
      <c r="L13" s="131"/>
      <c r="M13" s="142"/>
      <c r="N13" s="131"/>
    </row>
    <row r="14" spans="1:14" ht="15.75" thickBot="1" x14ac:dyDescent="0.3">
      <c r="A14" s="88" t="s">
        <v>16</v>
      </c>
      <c r="B14" s="85">
        <f>SUM(B4:B13)</f>
        <v>5350000</v>
      </c>
      <c r="C14" s="85"/>
      <c r="D14" s="85">
        <f>SUM(D4:D13)</f>
        <v>4933000</v>
      </c>
      <c r="E14" s="85"/>
      <c r="F14" s="85">
        <f>SUM(F4:F13)</f>
        <v>4965890</v>
      </c>
      <c r="G14" s="100"/>
      <c r="H14" s="85">
        <f>SUM(H4:H13)</f>
        <v>4965890</v>
      </c>
      <c r="I14" s="100"/>
      <c r="J14" s="100"/>
      <c r="K14" s="147">
        <f>SUM(K4:K13)</f>
        <v>2571050</v>
      </c>
      <c r="L14" s="131"/>
      <c r="M14" s="132">
        <f>SUM(M4:M13)</f>
        <v>5232000</v>
      </c>
      <c r="N14" s="131"/>
    </row>
    <row r="15" spans="1:14" ht="15.75" thickBot="1" x14ac:dyDescent="0.3">
      <c r="A15" s="88" t="s">
        <v>17</v>
      </c>
      <c r="B15" s="84"/>
      <c r="C15" s="84"/>
      <c r="D15" s="84"/>
      <c r="E15" s="84"/>
      <c r="F15" s="100"/>
      <c r="G15" s="100"/>
      <c r="H15" s="100"/>
      <c r="I15" s="100"/>
      <c r="J15" s="100"/>
      <c r="K15" s="130"/>
      <c r="L15" s="131"/>
      <c r="M15" s="130"/>
      <c r="N15" s="131"/>
    </row>
    <row r="16" spans="1:14" ht="15.75" thickBot="1" x14ac:dyDescent="0.3">
      <c r="A16" s="89" t="s">
        <v>18</v>
      </c>
      <c r="B16" s="84">
        <v>87500</v>
      </c>
      <c r="C16" s="84"/>
      <c r="D16" s="84">
        <v>142000</v>
      </c>
      <c r="E16" s="84"/>
      <c r="F16" s="100">
        <v>89000</v>
      </c>
      <c r="G16" s="100"/>
      <c r="H16" s="100">
        <v>89000</v>
      </c>
      <c r="I16" s="100"/>
      <c r="J16" s="100"/>
      <c r="K16" s="130">
        <v>0</v>
      </c>
      <c r="L16" s="131"/>
      <c r="M16" s="130">
        <v>87500</v>
      </c>
      <c r="N16" s="131"/>
    </row>
    <row r="17" spans="1:14" ht="15.75" thickBot="1" x14ac:dyDescent="0.3">
      <c r="A17" s="88" t="s">
        <v>19</v>
      </c>
      <c r="B17" s="85">
        <f>SUM(B16)</f>
        <v>87500</v>
      </c>
      <c r="C17" s="85"/>
      <c r="D17" s="85">
        <f>SUM(D16)</f>
        <v>142000</v>
      </c>
      <c r="E17" s="85"/>
      <c r="F17" s="85">
        <f>SUM(F16)</f>
        <v>89000</v>
      </c>
      <c r="G17" s="100"/>
      <c r="H17" s="85">
        <f>SUM(H16)</f>
        <v>89000</v>
      </c>
      <c r="I17" s="100"/>
      <c r="J17" s="100"/>
      <c r="K17" s="130"/>
      <c r="L17" s="131"/>
      <c r="M17" s="85">
        <f>SUM(M16)</f>
        <v>87500</v>
      </c>
      <c r="N17" s="131"/>
    </row>
    <row r="18" spans="1:14" ht="15.75" thickBot="1" x14ac:dyDescent="0.3">
      <c r="A18" s="88"/>
      <c r="B18" s="84"/>
      <c r="C18" s="84"/>
      <c r="D18" s="84"/>
      <c r="E18" s="84"/>
      <c r="F18" s="100"/>
      <c r="G18" s="100"/>
      <c r="H18" s="100"/>
      <c r="I18" s="100"/>
      <c r="J18" s="100"/>
      <c r="K18" s="130"/>
      <c r="L18" s="131"/>
      <c r="M18" s="130"/>
      <c r="N18" s="131"/>
    </row>
    <row r="19" spans="1:14" ht="15.75" thickBot="1" x14ac:dyDescent="0.3">
      <c r="A19" s="88" t="s">
        <v>22</v>
      </c>
      <c r="B19" s="84"/>
      <c r="C19" s="84"/>
      <c r="D19" s="84"/>
      <c r="E19" s="84"/>
      <c r="F19" s="100"/>
      <c r="G19" s="100"/>
      <c r="H19" s="100"/>
      <c r="I19" s="100"/>
      <c r="J19" s="100"/>
      <c r="K19" s="130"/>
      <c r="L19" s="131"/>
      <c r="M19" s="130"/>
      <c r="N19" s="131"/>
    </row>
    <row r="20" spans="1:14" ht="15.75" thickBot="1" x14ac:dyDescent="0.3">
      <c r="A20" s="89" t="s">
        <v>171</v>
      </c>
      <c r="B20" s="84"/>
      <c r="C20" s="84">
        <v>-390000</v>
      </c>
      <c r="D20" s="84"/>
      <c r="E20" s="84">
        <v>-420000</v>
      </c>
      <c r="F20" s="100"/>
      <c r="G20" s="100">
        <v>-10000</v>
      </c>
      <c r="H20" s="100"/>
      <c r="I20" s="100">
        <v>-25000</v>
      </c>
      <c r="J20" s="100"/>
      <c r="K20" s="130"/>
      <c r="L20" s="131">
        <v>-12000</v>
      </c>
      <c r="M20" s="130"/>
      <c r="N20" s="143">
        <v>-300000</v>
      </c>
    </row>
    <row r="21" spans="1:14" ht="15.75" thickBot="1" x14ac:dyDescent="0.3">
      <c r="A21" s="89" t="s">
        <v>24</v>
      </c>
      <c r="B21" s="84"/>
      <c r="C21" s="84">
        <v>-360000</v>
      </c>
      <c r="D21" s="84"/>
      <c r="E21" s="84">
        <v>-363000</v>
      </c>
      <c r="F21" s="100"/>
      <c r="G21" s="100">
        <v>-630000</v>
      </c>
      <c r="H21" s="100"/>
      <c r="I21" s="100">
        <v>-630000</v>
      </c>
      <c r="J21" s="100"/>
      <c r="K21" s="130"/>
      <c r="L21" s="131">
        <v>-135000</v>
      </c>
      <c r="M21" s="130"/>
      <c r="N21" s="144">
        <v>-360000</v>
      </c>
    </row>
    <row r="22" spans="1:14" ht="15.75" thickBot="1" x14ac:dyDescent="0.3">
      <c r="A22" s="97" t="s">
        <v>148</v>
      </c>
      <c r="B22" s="84"/>
      <c r="C22" s="84">
        <v>-35000</v>
      </c>
      <c r="D22" s="84"/>
      <c r="E22" s="84">
        <v>-145000</v>
      </c>
      <c r="F22" s="100"/>
      <c r="G22" s="100"/>
      <c r="H22" s="100"/>
      <c r="I22" s="100"/>
      <c r="J22" s="100"/>
      <c r="K22" s="130"/>
      <c r="L22" s="131"/>
      <c r="M22" s="130"/>
      <c r="N22" s="143">
        <v>-35000</v>
      </c>
    </row>
    <row r="23" spans="1:14" ht="15.75" thickBot="1" x14ac:dyDescent="0.3">
      <c r="A23" s="97" t="s">
        <v>150</v>
      </c>
      <c r="B23" s="84"/>
      <c r="C23" s="84">
        <v>0</v>
      </c>
      <c r="D23" s="84"/>
      <c r="E23" s="84">
        <v>-285000</v>
      </c>
      <c r="F23" s="100"/>
      <c r="G23" s="100"/>
      <c r="H23" s="100"/>
      <c r="I23" s="100"/>
      <c r="J23" s="100"/>
      <c r="K23" s="130"/>
      <c r="L23" s="131"/>
      <c r="M23" s="130"/>
      <c r="N23" s="144">
        <v>0</v>
      </c>
    </row>
    <row r="24" spans="1:14" ht="15.75" thickBot="1" x14ac:dyDescent="0.3">
      <c r="A24" s="97" t="s">
        <v>233</v>
      </c>
      <c r="B24" s="84"/>
      <c r="C24" s="84">
        <v>-275000</v>
      </c>
      <c r="D24" s="84"/>
      <c r="E24" s="84"/>
      <c r="F24" s="100"/>
      <c r="G24" s="100"/>
      <c r="H24" s="100"/>
      <c r="I24" s="100"/>
      <c r="J24" s="100"/>
      <c r="K24" s="130"/>
      <c r="L24" s="131">
        <v>-220000</v>
      </c>
      <c r="M24" s="130"/>
      <c r="N24" s="143">
        <v>-275000</v>
      </c>
    </row>
    <row r="25" spans="1:14" ht="15.75" thickBot="1" x14ac:dyDescent="0.3">
      <c r="A25" s="97" t="s">
        <v>227</v>
      </c>
      <c r="B25" s="84"/>
      <c r="C25" s="84">
        <v>-78000</v>
      </c>
      <c r="D25" s="84"/>
      <c r="E25" s="84"/>
      <c r="F25" s="100"/>
      <c r="G25" s="100"/>
      <c r="H25" s="100"/>
      <c r="I25" s="100"/>
      <c r="J25" s="100"/>
      <c r="K25" s="130"/>
      <c r="L25" s="131">
        <v>-10000</v>
      </c>
      <c r="M25" s="130"/>
      <c r="N25" s="144">
        <v>-78000</v>
      </c>
    </row>
    <row r="26" spans="1:14" ht="15.75" thickBot="1" x14ac:dyDescent="0.3">
      <c r="A26" s="97" t="s">
        <v>222</v>
      </c>
      <c r="B26" s="84"/>
      <c r="C26" s="84">
        <v>-10000</v>
      </c>
      <c r="D26" s="84"/>
      <c r="E26" s="84">
        <v>-10000</v>
      </c>
      <c r="F26" s="100"/>
      <c r="G26" s="100"/>
      <c r="H26" s="100"/>
      <c r="I26" s="100"/>
      <c r="J26" s="100"/>
      <c r="K26" s="130"/>
      <c r="L26" s="131"/>
      <c r="M26" s="130"/>
      <c r="N26" s="143">
        <v>-10000</v>
      </c>
    </row>
    <row r="27" spans="1:14" ht="15.75" thickBot="1" x14ac:dyDescent="0.3">
      <c r="A27" s="89" t="s">
        <v>147</v>
      </c>
      <c r="B27" s="84"/>
      <c r="C27" s="84">
        <v>-400000</v>
      </c>
      <c r="D27" s="84"/>
      <c r="E27" s="84">
        <v>-280000</v>
      </c>
      <c r="F27" s="100"/>
      <c r="G27" s="100">
        <v>-195000</v>
      </c>
      <c r="H27" s="100"/>
      <c r="I27" s="100">
        <v>-390000</v>
      </c>
      <c r="J27" s="100"/>
      <c r="K27" s="130"/>
      <c r="L27" s="131"/>
      <c r="M27" s="130"/>
      <c r="N27" s="144">
        <v>-330000</v>
      </c>
    </row>
    <row r="28" spans="1:14" ht="15.75" thickBot="1" x14ac:dyDescent="0.3">
      <c r="A28" s="89" t="s">
        <v>226</v>
      </c>
      <c r="B28" s="84"/>
      <c r="C28" s="84">
        <v>-65000</v>
      </c>
      <c r="D28" s="84"/>
      <c r="E28" s="84">
        <v>-65000</v>
      </c>
      <c r="F28" s="100"/>
      <c r="G28" s="100">
        <v>0</v>
      </c>
      <c r="H28" s="100"/>
      <c r="I28" s="100">
        <v>0</v>
      </c>
      <c r="J28" s="100"/>
      <c r="K28" s="130"/>
      <c r="L28" s="131"/>
      <c r="M28" s="130"/>
      <c r="N28" s="143">
        <v>0</v>
      </c>
    </row>
    <row r="29" spans="1:14" ht="15.75" thickBot="1" x14ac:dyDescent="0.3">
      <c r="A29" s="89" t="s">
        <v>217</v>
      </c>
      <c r="B29" s="86"/>
      <c r="C29" s="84">
        <v>-25000</v>
      </c>
      <c r="D29" s="84"/>
      <c r="E29" s="84">
        <v>-25000</v>
      </c>
      <c r="F29" s="100"/>
      <c r="G29" s="100">
        <v>-46055</v>
      </c>
      <c r="H29" s="100"/>
      <c r="I29" s="100">
        <v>-52000</v>
      </c>
      <c r="J29" s="100"/>
      <c r="K29" s="130"/>
      <c r="L29" s="131"/>
      <c r="M29" s="130"/>
      <c r="N29" s="144">
        <v>-25000</v>
      </c>
    </row>
    <row r="30" spans="1:14" ht="15.75" thickBot="1" x14ac:dyDescent="0.3">
      <c r="A30" s="89" t="s">
        <v>120</v>
      </c>
      <c r="B30" s="84"/>
      <c r="C30" s="84">
        <v>-360000</v>
      </c>
      <c r="D30" s="84"/>
      <c r="E30" s="84">
        <v>-360000</v>
      </c>
      <c r="F30" s="100"/>
      <c r="G30" s="100">
        <v>-255000</v>
      </c>
      <c r="H30" s="100"/>
      <c r="I30" s="100">
        <v>-360000</v>
      </c>
      <c r="J30" s="100"/>
      <c r="K30" s="130"/>
      <c r="L30" s="131"/>
      <c r="M30" s="130"/>
      <c r="N30" s="143">
        <v>-360000</v>
      </c>
    </row>
    <row r="31" spans="1:14" ht="15.75" thickBot="1" x14ac:dyDescent="0.3">
      <c r="A31" s="89" t="s">
        <v>30</v>
      </c>
      <c r="B31" s="84"/>
      <c r="C31" s="84">
        <v>-250000</v>
      </c>
      <c r="D31" s="84"/>
      <c r="E31" s="84">
        <v>-25000</v>
      </c>
      <c r="F31" s="100"/>
      <c r="G31" s="100">
        <v>-300000</v>
      </c>
      <c r="H31" s="100"/>
      <c r="I31" s="100">
        <v>-300000</v>
      </c>
      <c r="J31" s="100"/>
      <c r="K31" s="130"/>
      <c r="L31" s="131">
        <v>-200000</v>
      </c>
      <c r="M31" s="130"/>
      <c r="N31" s="144">
        <v>-250000</v>
      </c>
    </row>
    <row r="32" spans="1:14" ht="15.75" thickBot="1" x14ac:dyDescent="0.3">
      <c r="A32" s="89" t="s">
        <v>31</v>
      </c>
      <c r="B32" s="84"/>
      <c r="C32" s="84">
        <v>-10000</v>
      </c>
      <c r="D32" s="84"/>
      <c r="E32" s="84">
        <v>-10000</v>
      </c>
      <c r="F32" s="100"/>
      <c r="G32" s="100">
        <v>0</v>
      </c>
      <c r="H32" s="100"/>
      <c r="I32" s="100">
        <v>0</v>
      </c>
      <c r="J32" s="100"/>
      <c r="K32" s="130"/>
      <c r="L32" s="131"/>
      <c r="M32" s="130"/>
      <c r="N32" s="143">
        <v>-10000</v>
      </c>
    </row>
    <row r="33" spans="1:14" ht="15.75" thickBot="1" x14ac:dyDescent="0.3">
      <c r="A33" s="89" t="s">
        <v>32</v>
      </c>
      <c r="B33" s="84"/>
      <c r="C33" s="84">
        <v>-30000</v>
      </c>
      <c r="D33" s="84"/>
      <c r="E33" s="84">
        <v>-20000</v>
      </c>
      <c r="F33" s="100"/>
      <c r="G33" s="100">
        <v>-15690</v>
      </c>
      <c r="H33" s="100"/>
      <c r="I33" s="100">
        <v>-17000</v>
      </c>
      <c r="J33" s="100"/>
      <c r="K33" s="130"/>
      <c r="L33" s="131">
        <v>-4574</v>
      </c>
      <c r="M33" s="130"/>
      <c r="N33" s="144">
        <v>-15000</v>
      </c>
    </row>
    <row r="34" spans="1:14" ht="15.75" thickBot="1" x14ac:dyDescent="0.3">
      <c r="A34" s="89" t="s">
        <v>136</v>
      </c>
      <c r="B34" s="84"/>
      <c r="C34" s="84">
        <v>-15000</v>
      </c>
      <c r="D34" s="84"/>
      <c r="E34" s="84">
        <v>-15000</v>
      </c>
      <c r="F34" s="100"/>
      <c r="G34" s="100">
        <v>0</v>
      </c>
      <c r="H34" s="100"/>
      <c r="I34" s="100">
        <v>-8650</v>
      </c>
      <c r="J34" s="100"/>
      <c r="K34" s="130"/>
      <c r="L34" s="131"/>
      <c r="M34" s="130"/>
      <c r="N34" s="143">
        <v>-5000</v>
      </c>
    </row>
    <row r="35" spans="1:14" ht="15.75" thickBot="1" x14ac:dyDescent="0.3">
      <c r="A35" s="88" t="s">
        <v>33</v>
      </c>
      <c r="B35" s="84"/>
      <c r="C35" s="85">
        <f>SUM(C20:C34)</f>
        <v>-2303000</v>
      </c>
      <c r="D35" s="85"/>
      <c r="E35" s="85">
        <f>SUM(E20:E34)</f>
        <v>-2023000</v>
      </c>
      <c r="F35" s="100"/>
      <c r="G35" s="85">
        <f>SUM(G20:G34)</f>
        <v>-1451745</v>
      </c>
      <c r="H35" s="100"/>
      <c r="I35" s="85">
        <f>SUM(I20:I34)</f>
        <v>-1782650</v>
      </c>
      <c r="J35" s="100"/>
      <c r="K35" s="130"/>
      <c r="L35" s="133">
        <f>SUM(L20:L34)</f>
        <v>-581574</v>
      </c>
      <c r="M35" s="130"/>
      <c r="N35" s="133">
        <f>SUM(N20:N34)</f>
        <v>-2053000</v>
      </c>
    </row>
    <row r="36" spans="1:14" ht="15.75" thickBot="1" x14ac:dyDescent="0.3">
      <c r="A36" s="88"/>
      <c r="B36" s="97"/>
      <c r="C36" s="84"/>
      <c r="D36" s="84"/>
      <c r="E36" s="84"/>
      <c r="F36" s="100"/>
      <c r="G36" s="100"/>
      <c r="H36" s="100"/>
      <c r="I36" s="100"/>
      <c r="J36" s="100"/>
      <c r="K36" s="130"/>
      <c r="L36" s="131"/>
      <c r="M36" s="130"/>
      <c r="N36" s="131"/>
    </row>
    <row r="37" spans="1:14" ht="15.75" thickBot="1" x14ac:dyDescent="0.3">
      <c r="A37" s="88" t="s">
        <v>34</v>
      </c>
      <c r="B37" s="84"/>
      <c r="C37" s="84"/>
      <c r="D37" s="84"/>
      <c r="E37" s="84"/>
      <c r="F37" s="100"/>
      <c r="G37" s="100"/>
      <c r="H37" s="100"/>
      <c r="I37" s="100"/>
      <c r="J37" s="100"/>
      <c r="K37" s="130"/>
      <c r="L37" s="131"/>
      <c r="M37" s="130"/>
      <c r="N37" s="131"/>
    </row>
    <row r="38" spans="1:14" ht="15.75" thickBot="1" x14ac:dyDescent="0.3">
      <c r="A38" s="89" t="s">
        <v>35</v>
      </c>
      <c r="B38" s="84"/>
      <c r="C38" s="84">
        <f>-136000</f>
        <v>-136000</v>
      </c>
      <c r="D38" s="84"/>
      <c r="E38" s="84">
        <f>C38*1.02</f>
        <v>-138720</v>
      </c>
      <c r="F38" s="100"/>
      <c r="G38" s="100">
        <v>-129494</v>
      </c>
      <c r="H38" s="100"/>
      <c r="I38" s="100">
        <v>-129494</v>
      </c>
      <c r="J38" s="100"/>
      <c r="K38" s="130"/>
      <c r="L38" s="131">
        <v>-52773</v>
      </c>
      <c r="M38" s="130"/>
      <c r="N38" s="143">
        <f>-136000</f>
        <v>-136000</v>
      </c>
    </row>
    <row r="39" spans="1:14" ht="15.75" thickBot="1" x14ac:dyDescent="0.3">
      <c r="A39" s="89" t="s">
        <v>91</v>
      </c>
      <c r="B39" s="84"/>
      <c r="C39" s="84">
        <f>-40000</f>
        <v>-40000</v>
      </c>
      <c r="D39" s="84"/>
      <c r="E39" s="84">
        <f>C39*1.02</f>
        <v>-40800</v>
      </c>
      <c r="F39" s="100"/>
      <c r="G39" s="100">
        <v>-38428</v>
      </c>
      <c r="H39" s="100"/>
      <c r="I39" s="100">
        <v>-38428</v>
      </c>
      <c r="J39" s="100"/>
      <c r="K39" s="130"/>
      <c r="L39" s="131">
        <v>-14386</v>
      </c>
      <c r="M39" s="130"/>
      <c r="N39" s="144">
        <f>-40000</f>
        <v>-40000</v>
      </c>
    </row>
    <row r="40" spans="1:14" ht="15.75" thickBot="1" x14ac:dyDescent="0.3">
      <c r="A40" s="89" t="s">
        <v>99</v>
      </c>
      <c r="B40" s="84"/>
      <c r="C40" s="84">
        <f>-18500</f>
        <v>-18500</v>
      </c>
      <c r="D40" s="84"/>
      <c r="E40" s="84">
        <f>C40*1.02</f>
        <v>-18870</v>
      </c>
      <c r="F40" s="100"/>
      <c r="G40" s="100">
        <v>-14410</v>
      </c>
      <c r="H40" s="100"/>
      <c r="I40" s="100">
        <v>-17500</v>
      </c>
      <c r="J40" s="100"/>
      <c r="K40" s="130"/>
      <c r="L40" s="131">
        <v>-9169</v>
      </c>
      <c r="M40" s="130"/>
      <c r="N40" s="143">
        <f>-18500</f>
        <v>-18500</v>
      </c>
    </row>
    <row r="41" spans="1:14" ht="15.75" thickBot="1" x14ac:dyDescent="0.3">
      <c r="A41" s="89" t="s">
        <v>36</v>
      </c>
      <c r="B41" s="84"/>
      <c r="C41" s="84">
        <v>-15000</v>
      </c>
      <c r="D41" s="84"/>
      <c r="E41" s="84">
        <v>-15000</v>
      </c>
      <c r="F41" s="100"/>
      <c r="G41" s="100">
        <v>-23455</v>
      </c>
      <c r="H41" s="100"/>
      <c r="I41" s="100">
        <v>-23455</v>
      </c>
      <c r="J41" s="100"/>
      <c r="K41" s="130"/>
      <c r="L41" s="131"/>
      <c r="M41" s="130"/>
      <c r="N41" s="144">
        <v>-15000</v>
      </c>
    </row>
    <row r="42" spans="1:14" ht="15.75" thickBot="1" x14ac:dyDescent="0.3">
      <c r="A42" s="89" t="s">
        <v>219</v>
      </c>
      <c r="B42" s="84"/>
      <c r="C42" s="84">
        <v>-270000</v>
      </c>
      <c r="D42" s="84"/>
      <c r="E42" s="84">
        <v>-250000</v>
      </c>
      <c r="F42" s="100"/>
      <c r="G42" s="100">
        <v>-184336</v>
      </c>
      <c r="H42" s="100"/>
      <c r="I42" s="100">
        <v>-250000</v>
      </c>
      <c r="J42" s="100"/>
      <c r="K42" s="130"/>
      <c r="L42" s="131">
        <v>-186821</v>
      </c>
      <c r="M42" s="130"/>
      <c r="N42" s="143">
        <v>-270000</v>
      </c>
    </row>
    <row r="43" spans="1:14" ht="15.75" thickBot="1" x14ac:dyDescent="0.3">
      <c r="A43" s="89" t="s">
        <v>218</v>
      </c>
      <c r="B43" s="86"/>
      <c r="C43" s="84">
        <v>-220000</v>
      </c>
      <c r="D43" s="84"/>
      <c r="E43" s="84">
        <v>-220000</v>
      </c>
      <c r="F43" s="100"/>
      <c r="G43" s="100">
        <v>-174014</v>
      </c>
      <c r="H43" s="100"/>
      <c r="I43" s="100">
        <v>-210000</v>
      </c>
      <c r="J43" s="100"/>
      <c r="K43" s="130"/>
      <c r="L43" s="131">
        <v>-17973</v>
      </c>
      <c r="M43" s="130"/>
      <c r="N43" s="144">
        <v>-100000</v>
      </c>
    </row>
    <row r="44" spans="1:14" ht="15.75" thickBot="1" x14ac:dyDescent="0.3">
      <c r="A44" s="89" t="s">
        <v>220</v>
      </c>
      <c r="B44" s="84"/>
      <c r="C44" s="84">
        <v>-145000</v>
      </c>
      <c r="D44" s="84"/>
      <c r="E44" s="84">
        <v>-158000</v>
      </c>
      <c r="F44" s="100"/>
      <c r="G44" s="100">
        <v>-31987</v>
      </c>
      <c r="H44" s="100"/>
      <c r="I44" s="100">
        <v>-31987</v>
      </c>
      <c r="J44" s="100"/>
      <c r="K44" s="130"/>
      <c r="L44" s="131"/>
      <c r="M44" s="130"/>
      <c r="N44" s="143">
        <v>-145000</v>
      </c>
    </row>
    <row r="45" spans="1:14" ht="15.75" thickBot="1" x14ac:dyDescent="0.3">
      <c r="A45" s="89" t="s">
        <v>42</v>
      </c>
      <c r="B45" s="83"/>
      <c r="C45" s="83">
        <v>-10000</v>
      </c>
      <c r="D45" s="83"/>
      <c r="E45" s="83">
        <v>-10000</v>
      </c>
      <c r="F45" s="100"/>
      <c r="G45" s="100">
        <v>-5980</v>
      </c>
      <c r="H45" s="100"/>
      <c r="I45" s="100">
        <v>-10000</v>
      </c>
      <c r="J45" s="100"/>
      <c r="K45" s="130"/>
      <c r="L45" s="131"/>
      <c r="M45" s="130"/>
      <c r="N45" s="145">
        <v>-10000</v>
      </c>
    </row>
    <row r="46" spans="1:14" ht="15.75" thickBot="1" x14ac:dyDescent="0.3">
      <c r="A46" s="89" t="s">
        <v>43</v>
      </c>
      <c r="B46" s="83"/>
      <c r="C46" s="83">
        <v>-10000</v>
      </c>
      <c r="D46" s="83"/>
      <c r="E46" s="83">
        <v>-10000</v>
      </c>
      <c r="F46" s="100"/>
      <c r="G46" s="100">
        <v>-10000</v>
      </c>
      <c r="H46" s="100"/>
      <c r="I46" s="100">
        <v>-10000</v>
      </c>
      <c r="J46" s="100"/>
      <c r="K46" s="130"/>
      <c r="L46" s="131">
        <v>-32642.93</v>
      </c>
      <c r="M46" s="130"/>
      <c r="N46" s="146">
        <v>-10000</v>
      </c>
    </row>
    <row r="47" spans="1:14" ht="15.75" thickBot="1" x14ac:dyDescent="0.3">
      <c r="A47" s="89" t="s">
        <v>44</v>
      </c>
      <c r="B47" s="84"/>
      <c r="C47" s="84">
        <v>-35000</v>
      </c>
      <c r="D47" s="84"/>
      <c r="E47" s="84">
        <v>-35000</v>
      </c>
      <c r="F47" s="100"/>
      <c r="G47" s="100">
        <v>-30189</v>
      </c>
      <c r="H47" s="100"/>
      <c r="I47" s="100">
        <f>G47*12/10</f>
        <v>-36226.800000000003</v>
      </c>
      <c r="J47" s="100"/>
      <c r="K47" s="130"/>
      <c r="L47" s="131">
        <v>-3986</v>
      </c>
      <c r="M47" s="130"/>
      <c r="N47" s="144">
        <v>-35000</v>
      </c>
    </row>
    <row r="48" spans="1:14" ht="15.75" thickBot="1" x14ac:dyDescent="0.3">
      <c r="A48" s="89" t="s">
        <v>45</v>
      </c>
      <c r="B48" s="84"/>
      <c r="C48" s="84">
        <v>-3000</v>
      </c>
      <c r="D48" s="84"/>
      <c r="E48" s="84">
        <v>-3000</v>
      </c>
      <c r="F48" s="100"/>
      <c r="G48" s="100">
        <v>0</v>
      </c>
      <c r="H48" s="100"/>
      <c r="I48" s="100">
        <v>0</v>
      </c>
      <c r="J48" s="100"/>
      <c r="K48" s="130"/>
      <c r="L48" s="131"/>
      <c r="M48" s="130"/>
      <c r="N48" s="143">
        <v>-3000</v>
      </c>
    </row>
    <row r="49" spans="1:14" ht="15.75" thickBot="1" x14ac:dyDescent="0.3">
      <c r="A49" s="89" t="s">
        <v>46</v>
      </c>
      <c r="B49" s="84"/>
      <c r="C49" s="84">
        <v>-15000</v>
      </c>
      <c r="D49" s="84"/>
      <c r="E49" s="84">
        <v>-15000</v>
      </c>
      <c r="F49" s="100"/>
      <c r="G49" s="100">
        <v>-12665</v>
      </c>
      <c r="H49" s="100"/>
      <c r="I49" s="100">
        <f>G49*12/10</f>
        <v>-15198</v>
      </c>
      <c r="J49" s="100"/>
      <c r="K49" s="130"/>
      <c r="L49" s="131">
        <v>-2974</v>
      </c>
      <c r="M49" s="130"/>
      <c r="N49" s="144">
        <v>-15000</v>
      </c>
    </row>
    <row r="50" spans="1:14" ht="15.75" thickBot="1" x14ac:dyDescent="0.3">
      <c r="A50" s="89" t="s">
        <v>48</v>
      </c>
      <c r="B50" s="84"/>
      <c r="C50" s="84">
        <v>-15000</v>
      </c>
      <c r="D50" s="84"/>
      <c r="E50" s="84">
        <v>-15000</v>
      </c>
      <c r="F50" s="100"/>
      <c r="G50" s="100">
        <v>-17738</v>
      </c>
      <c r="H50" s="100"/>
      <c r="I50" s="100">
        <v>-18000</v>
      </c>
      <c r="J50" s="100"/>
      <c r="K50" s="130"/>
      <c r="L50" s="131">
        <v>-14216</v>
      </c>
      <c r="M50" s="130"/>
      <c r="N50" s="143">
        <v>-15000</v>
      </c>
    </row>
    <row r="51" spans="1:14" ht="15.75" thickBot="1" x14ac:dyDescent="0.3">
      <c r="A51" s="89" t="s">
        <v>49</v>
      </c>
      <c r="B51" s="84"/>
      <c r="C51" s="84">
        <v>-5000</v>
      </c>
      <c r="D51" s="84"/>
      <c r="E51" s="84">
        <v>-5000</v>
      </c>
      <c r="F51" s="100"/>
      <c r="G51" s="100">
        <v>-4370</v>
      </c>
      <c r="H51" s="100"/>
      <c r="I51" s="100">
        <v>-4370</v>
      </c>
      <c r="J51" s="100"/>
      <c r="K51" s="130"/>
      <c r="L51" s="131">
        <v>-11077</v>
      </c>
      <c r="M51" s="130"/>
      <c r="N51" s="144">
        <v>-5000</v>
      </c>
    </row>
    <row r="52" spans="1:14" ht="15.75" thickBot="1" x14ac:dyDescent="0.3">
      <c r="A52" s="89" t="s">
        <v>50</v>
      </c>
      <c r="B52" s="84"/>
      <c r="C52" s="84">
        <v>-65000</v>
      </c>
      <c r="D52" s="84"/>
      <c r="E52" s="84">
        <v>-65000</v>
      </c>
      <c r="F52" s="100"/>
      <c r="G52" s="100">
        <v>0</v>
      </c>
      <c r="H52" s="100"/>
      <c r="I52" s="100">
        <v>0</v>
      </c>
      <c r="J52" s="100"/>
      <c r="K52" s="130"/>
      <c r="L52" s="131">
        <v>-35475</v>
      </c>
      <c r="M52" s="130"/>
      <c r="N52" s="143">
        <v>-35475</v>
      </c>
    </row>
    <row r="53" spans="1:14" ht="15.75" thickBot="1" x14ac:dyDescent="0.3">
      <c r="A53" s="89" t="s">
        <v>51</v>
      </c>
      <c r="B53" s="84"/>
      <c r="C53" s="84">
        <v>-28000</v>
      </c>
      <c r="D53" s="84"/>
      <c r="E53" s="84">
        <v>-28000</v>
      </c>
      <c r="F53" s="100"/>
      <c r="G53" s="100">
        <v>-27225</v>
      </c>
      <c r="H53" s="100"/>
      <c r="I53" s="100">
        <v>-27225</v>
      </c>
      <c r="J53" s="100"/>
      <c r="K53" s="130"/>
      <c r="L53" s="131">
        <v>-37125</v>
      </c>
      <c r="M53" s="130"/>
      <c r="N53" s="144">
        <v>-38000</v>
      </c>
    </row>
    <row r="54" spans="1:14" ht="15.75" thickBot="1" x14ac:dyDescent="0.3">
      <c r="A54" s="89" t="s">
        <v>52</v>
      </c>
      <c r="B54" s="84"/>
      <c r="C54" s="84">
        <v>-30000</v>
      </c>
      <c r="D54" s="84"/>
      <c r="E54" s="84">
        <v>-30000</v>
      </c>
      <c r="F54" s="100"/>
      <c r="G54" s="100">
        <v>-27188</v>
      </c>
      <c r="H54" s="100"/>
      <c r="I54" s="100">
        <f>G54*12/10</f>
        <v>-32625.599999999999</v>
      </c>
      <c r="J54" s="100"/>
      <c r="K54" s="130"/>
      <c r="L54" s="131">
        <v>-14169</v>
      </c>
      <c r="M54" s="130"/>
      <c r="N54" s="143">
        <v>-20000</v>
      </c>
    </row>
    <row r="55" spans="1:14" ht="15.75" thickBot="1" x14ac:dyDescent="0.3">
      <c r="A55" s="89" t="s">
        <v>53</v>
      </c>
      <c r="B55" s="84"/>
      <c r="C55" s="84">
        <v>-50000</v>
      </c>
      <c r="D55" s="84"/>
      <c r="E55" s="84">
        <v>-50000</v>
      </c>
      <c r="F55" s="100"/>
      <c r="G55" s="100">
        <v>-39646</v>
      </c>
      <c r="H55" s="100"/>
      <c r="I55" s="100">
        <f>G55*12/10-1300</f>
        <v>-48875.199999999997</v>
      </c>
      <c r="J55" s="100"/>
      <c r="K55" s="130"/>
      <c r="L55" s="131">
        <v>-20016</v>
      </c>
      <c r="M55" s="130"/>
      <c r="N55" s="144">
        <v>-50000</v>
      </c>
    </row>
    <row r="56" spans="1:14" ht="15.75" thickBot="1" x14ac:dyDescent="0.3">
      <c r="A56" s="89" t="s">
        <v>54</v>
      </c>
      <c r="B56" s="86"/>
      <c r="C56" s="84">
        <v>-360000</v>
      </c>
      <c r="D56" s="84"/>
      <c r="E56" s="84">
        <v>-20000</v>
      </c>
      <c r="F56" s="100"/>
      <c r="G56" s="100">
        <v>-597128</v>
      </c>
      <c r="H56" s="100"/>
      <c r="I56" s="100">
        <v>-690000</v>
      </c>
      <c r="J56" s="100"/>
      <c r="K56" s="130"/>
      <c r="L56" s="131">
        <v>-166350</v>
      </c>
      <c r="M56" s="130"/>
      <c r="N56" s="143">
        <v>-360000</v>
      </c>
    </row>
    <row r="57" spans="1:14" ht="15.75" thickBot="1" x14ac:dyDescent="0.3">
      <c r="A57" s="89" t="s">
        <v>221</v>
      </c>
      <c r="B57" s="84"/>
      <c r="C57" s="84">
        <v>-62000</v>
      </c>
      <c r="D57" s="84"/>
      <c r="E57" s="84">
        <v>0</v>
      </c>
      <c r="F57" s="100"/>
      <c r="G57" s="100">
        <v>0</v>
      </c>
      <c r="H57" s="100"/>
      <c r="I57" s="100">
        <v>-373346</v>
      </c>
      <c r="J57" s="100"/>
      <c r="K57" s="130"/>
      <c r="L57" s="131"/>
      <c r="M57" s="130"/>
      <c r="N57" s="144">
        <v>-62000</v>
      </c>
    </row>
    <row r="58" spans="1:14" ht="15.75" thickBot="1" x14ac:dyDescent="0.3">
      <c r="A58" s="89" t="s">
        <v>57</v>
      </c>
      <c r="B58" s="84"/>
      <c r="C58" s="84">
        <v>-2500</v>
      </c>
      <c r="D58" s="84"/>
      <c r="E58" s="84">
        <v>-2500</v>
      </c>
      <c r="F58" s="100"/>
      <c r="G58" s="100">
        <v>-1524</v>
      </c>
      <c r="H58" s="100"/>
      <c r="I58" s="100">
        <f>G58*12/10</f>
        <v>-1828.8</v>
      </c>
      <c r="J58" s="100"/>
      <c r="K58" s="130"/>
      <c r="L58" s="131">
        <v>-1104</v>
      </c>
      <c r="M58" s="130"/>
      <c r="N58" s="143">
        <v>-2500</v>
      </c>
    </row>
    <row r="59" spans="1:14" ht="15.75" thickBot="1" x14ac:dyDescent="0.3">
      <c r="A59" s="89" t="s">
        <v>135</v>
      </c>
      <c r="B59" s="84"/>
      <c r="C59" s="84">
        <v>-5000</v>
      </c>
      <c r="D59" s="84"/>
      <c r="E59" s="84">
        <v>-5000</v>
      </c>
      <c r="F59" s="100"/>
      <c r="G59" s="100">
        <v>-793</v>
      </c>
      <c r="H59" s="100"/>
      <c r="I59" s="100">
        <v>-1500</v>
      </c>
      <c r="J59" s="100"/>
      <c r="K59" s="130"/>
      <c r="L59" s="131">
        <v>-3321</v>
      </c>
      <c r="M59" s="130"/>
      <c r="N59" s="144">
        <v>-5000</v>
      </c>
    </row>
    <row r="60" spans="1:14" ht="15.75" thickBot="1" x14ac:dyDescent="0.3">
      <c r="A60" s="89" t="s">
        <v>224</v>
      </c>
      <c r="B60" s="84"/>
      <c r="C60" s="84">
        <f>-33660*9.85</f>
        <v>-331551</v>
      </c>
      <c r="D60" s="84"/>
      <c r="E60" s="84">
        <v>-200000</v>
      </c>
      <c r="F60" s="100"/>
      <c r="G60" s="100">
        <v>-365228</v>
      </c>
      <c r="H60" s="100"/>
      <c r="I60" s="100">
        <v>-365228</v>
      </c>
      <c r="J60" s="100"/>
      <c r="K60" s="130"/>
      <c r="L60" s="131">
        <v>-341050</v>
      </c>
      <c r="M60" s="130"/>
      <c r="N60" s="143">
        <v>-341050</v>
      </c>
    </row>
    <row r="61" spans="1:14" ht="15.75" thickBot="1" x14ac:dyDescent="0.3">
      <c r="A61" s="89" t="s">
        <v>225</v>
      </c>
      <c r="B61" s="84"/>
      <c r="C61" s="84">
        <f>-8000*10.66</f>
        <v>-85280</v>
      </c>
      <c r="D61" s="84"/>
      <c r="E61" s="84">
        <v>-90000</v>
      </c>
      <c r="F61" s="100"/>
      <c r="G61" s="100"/>
      <c r="H61" s="100"/>
      <c r="I61" s="100"/>
      <c r="J61" s="100"/>
      <c r="K61" s="130"/>
      <c r="L61" s="131">
        <v>-87144</v>
      </c>
      <c r="M61" s="130"/>
      <c r="N61" s="144">
        <v>-87144</v>
      </c>
    </row>
    <row r="62" spans="1:14" ht="15.75" thickBot="1" x14ac:dyDescent="0.3">
      <c r="A62" s="89" t="s">
        <v>59</v>
      </c>
      <c r="B62" s="84"/>
      <c r="C62" s="84">
        <v>-5000</v>
      </c>
      <c r="D62" s="84"/>
      <c r="E62" s="84">
        <v>-5000</v>
      </c>
      <c r="F62" s="100"/>
      <c r="G62" s="100">
        <v>-4827</v>
      </c>
      <c r="H62" s="100"/>
      <c r="I62" s="100">
        <v>-4827</v>
      </c>
      <c r="J62" s="100"/>
      <c r="K62" s="130"/>
      <c r="L62" s="131">
        <v>-4706</v>
      </c>
      <c r="M62" s="130"/>
      <c r="N62" s="143">
        <v>-5000</v>
      </c>
    </row>
    <row r="63" spans="1:14" ht="15.75" thickBot="1" x14ac:dyDescent="0.3">
      <c r="A63" s="89" t="s">
        <v>34</v>
      </c>
      <c r="B63" s="84"/>
      <c r="C63" s="84">
        <v>-500</v>
      </c>
      <c r="D63" s="84"/>
      <c r="E63" s="84">
        <v>-500</v>
      </c>
      <c r="F63" s="100"/>
      <c r="G63" s="100">
        <v>-5388</v>
      </c>
      <c r="H63" s="100"/>
      <c r="I63" s="100">
        <v>-18500</v>
      </c>
      <c r="J63" s="100"/>
      <c r="K63" s="130"/>
      <c r="L63" s="131"/>
      <c r="M63" s="130"/>
      <c r="N63" s="144">
        <v>-500</v>
      </c>
    </row>
    <row r="64" spans="1:14" ht="15.75" thickBot="1" x14ac:dyDescent="0.3">
      <c r="A64" s="88" t="s">
        <v>60</v>
      </c>
      <c r="B64" s="84"/>
      <c r="C64" s="85">
        <f>SUM(C38:C63)</f>
        <v>-1962331</v>
      </c>
      <c r="D64" s="85"/>
      <c r="E64" s="85">
        <f>SUM(E38:E63)</f>
        <v>-1430390</v>
      </c>
      <c r="F64" s="100"/>
      <c r="G64" s="85">
        <f>SUM(G38:G63)</f>
        <v>-1746013</v>
      </c>
      <c r="H64" s="100"/>
      <c r="I64" s="85">
        <f>SUM(I38:I63)</f>
        <v>-2358614.4000000004</v>
      </c>
      <c r="J64" s="100"/>
      <c r="K64" s="130"/>
      <c r="L64" s="134">
        <f>SUM(L38:L63)</f>
        <v>-1056477.93</v>
      </c>
      <c r="M64" s="130"/>
      <c r="N64" s="134">
        <f>SUM(N38:N63)</f>
        <v>-1824169</v>
      </c>
    </row>
    <row r="65" spans="1:14 16383:16383" ht="15.75" thickBot="1" x14ac:dyDescent="0.3">
      <c r="A65" s="89"/>
      <c r="B65" s="84"/>
      <c r="C65" s="84"/>
      <c r="D65" s="84"/>
      <c r="E65" s="84"/>
      <c r="F65" s="100"/>
      <c r="G65" s="100"/>
      <c r="H65" s="100"/>
      <c r="I65" s="100"/>
      <c r="J65" s="100"/>
      <c r="K65" s="130"/>
      <c r="L65" s="131"/>
      <c r="M65" s="130"/>
      <c r="N65" s="144"/>
    </row>
    <row r="66" spans="1:14 16383:16383" ht="15.75" thickBot="1" x14ac:dyDescent="0.3">
      <c r="A66" s="88" t="s">
        <v>92</v>
      </c>
      <c r="B66" s="84"/>
      <c r="C66" s="84"/>
      <c r="D66" s="84"/>
      <c r="E66" s="84"/>
      <c r="F66" s="100"/>
      <c r="G66" s="100"/>
      <c r="H66" s="100"/>
      <c r="I66" s="100"/>
      <c r="J66" s="100"/>
      <c r="K66" s="130"/>
      <c r="L66" s="131"/>
      <c r="M66" s="130"/>
      <c r="N66" s="143"/>
    </row>
    <row r="67" spans="1:14 16383:16383" ht="15.75" thickBot="1" x14ac:dyDescent="0.3">
      <c r="A67" s="90" t="s">
        <v>92</v>
      </c>
      <c r="B67" s="86"/>
      <c r="C67" s="84">
        <v>-1140000</v>
      </c>
      <c r="D67" s="84"/>
      <c r="E67" s="85">
        <v>-1650000</v>
      </c>
      <c r="F67" s="100"/>
      <c r="G67" s="100">
        <f>-729037</f>
        <v>-729037</v>
      </c>
      <c r="H67" s="100"/>
      <c r="I67" s="100">
        <f>-925000</f>
        <v>-925000</v>
      </c>
      <c r="J67" s="100"/>
      <c r="K67" s="130"/>
      <c r="L67" s="131">
        <v>-442843</v>
      </c>
      <c r="M67" s="130"/>
      <c r="N67" s="144">
        <v>-1140000</v>
      </c>
      <c r="XFC67" s="57">
        <f>SUM(C67:XFB67)</f>
        <v>-6026880</v>
      </c>
    </row>
    <row r="68" spans="1:14 16383:16383" ht="15.75" thickBot="1" x14ac:dyDescent="0.3">
      <c r="A68" s="88" t="s">
        <v>94</v>
      </c>
      <c r="B68" s="85"/>
      <c r="C68" s="85">
        <f>SUM(C67)</f>
        <v>-1140000</v>
      </c>
      <c r="D68" s="85"/>
      <c r="E68" s="85">
        <f>SUM(E67)</f>
        <v>-1650000</v>
      </c>
      <c r="F68" s="100"/>
      <c r="G68" s="85">
        <f>SUM(G67)</f>
        <v>-729037</v>
      </c>
      <c r="H68" s="100"/>
      <c r="I68" s="85">
        <f>SUM(I67)</f>
        <v>-925000</v>
      </c>
      <c r="J68" s="100"/>
      <c r="K68" s="130"/>
      <c r="L68" s="134">
        <f>SUM(L67)</f>
        <v>-442843</v>
      </c>
      <c r="M68" s="130"/>
      <c r="N68" s="134">
        <f>SUM(N67)</f>
        <v>-1140000</v>
      </c>
    </row>
    <row r="69" spans="1:14 16383:16383" ht="15.75" thickBot="1" x14ac:dyDescent="0.3">
      <c r="A69" s="89"/>
      <c r="B69" s="84"/>
      <c r="C69" s="84"/>
      <c r="D69" s="84"/>
      <c r="E69" s="84"/>
      <c r="F69" s="100"/>
      <c r="G69" s="100"/>
      <c r="H69" s="100"/>
      <c r="I69" s="100"/>
      <c r="J69" s="100"/>
      <c r="K69" s="130"/>
      <c r="L69" s="131"/>
      <c r="M69" s="130"/>
      <c r="N69" s="144"/>
    </row>
    <row r="70" spans="1:14 16383:16383" ht="16.5" thickBot="1" x14ac:dyDescent="0.3">
      <c r="A70" s="91" t="s">
        <v>137</v>
      </c>
      <c r="B70" s="87">
        <f>SUM(B4:B69)/2</f>
        <v>5437500</v>
      </c>
      <c r="C70" s="87">
        <f>SUM(C20:C68)/2</f>
        <v>-5405331</v>
      </c>
      <c r="D70" s="87">
        <f>SUM(D4:D69)/2</f>
        <v>5075000</v>
      </c>
      <c r="E70" s="87">
        <f>SUM(E20:E68)/2</f>
        <v>-5103390</v>
      </c>
      <c r="F70" s="87">
        <f>SUM(F4:F69)/2</f>
        <v>5054890</v>
      </c>
      <c r="G70" s="87">
        <f>SUM(G20:G68)/2</f>
        <v>-3926795</v>
      </c>
      <c r="H70" s="87">
        <f>SUM(H4:H69)/2</f>
        <v>5054890</v>
      </c>
      <c r="I70" s="87">
        <f>SUM(I20:I68)/2</f>
        <v>-5066264.4000000004</v>
      </c>
      <c r="J70" s="100"/>
      <c r="K70" s="148">
        <f>SUM(K4:K69)/2</f>
        <v>2571050</v>
      </c>
      <c r="L70" s="149">
        <f>SUM(L20:L68)/2</f>
        <v>-2080894.9299999997</v>
      </c>
      <c r="M70" s="135">
        <f>SUM(M4:M69)/2</f>
        <v>5319500</v>
      </c>
      <c r="N70" s="136">
        <f>SUM(N20:N68)/2</f>
        <v>-5017169</v>
      </c>
    </row>
    <row r="71" spans="1:14 16383:16383" ht="21.75" thickBot="1" x14ac:dyDescent="0.4">
      <c r="A71" s="95" t="s">
        <v>206</v>
      </c>
      <c r="B71" s="98"/>
      <c r="C71" s="99">
        <f>B70+C70</f>
        <v>32169</v>
      </c>
      <c r="D71" s="99"/>
      <c r="E71" s="99">
        <f>D70+E70</f>
        <v>-28390</v>
      </c>
      <c r="F71" s="100"/>
      <c r="G71" s="99">
        <f>F70+G70</f>
        <v>1128095</v>
      </c>
      <c r="H71" s="100"/>
      <c r="I71" s="99">
        <f>H70+I70</f>
        <v>-11374.400000000373</v>
      </c>
      <c r="J71" s="107"/>
      <c r="K71" s="34"/>
      <c r="L71" s="137">
        <f>K70+L70</f>
        <v>490155.0700000003</v>
      </c>
      <c r="M71" s="34"/>
      <c r="N71" s="137">
        <f>M70+N70</f>
        <v>302331</v>
      </c>
    </row>
    <row r="72" spans="1:14 16383:16383" x14ac:dyDescent="0.25">
      <c r="B72" s="57"/>
      <c r="C72" s="57"/>
      <c r="D72" s="57"/>
      <c r="E72" s="57"/>
      <c r="J72"/>
      <c r="K72" s="57"/>
      <c r="L72" s="57"/>
      <c r="M72" s="57"/>
      <c r="N72" s="57"/>
    </row>
    <row r="73" spans="1:14 16383:16383" x14ac:dyDescent="0.25">
      <c r="K73" s="57"/>
      <c r="L73" s="57"/>
      <c r="M73" s="57"/>
      <c r="N73" s="57"/>
    </row>
    <row r="74" spans="1:14 16383:16383" ht="15.75" thickBot="1" x14ac:dyDescent="0.3">
      <c r="A74" s="109" t="s">
        <v>148</v>
      </c>
      <c r="B74" s="93" t="s">
        <v>160</v>
      </c>
      <c r="C74" s="94" t="s">
        <v>161</v>
      </c>
      <c r="D74" s="96" t="s">
        <v>162</v>
      </c>
      <c r="E74" s="96" t="s">
        <v>163</v>
      </c>
      <c r="F74" s="110" t="s">
        <v>155</v>
      </c>
      <c r="G74" s="110" t="s">
        <v>156</v>
      </c>
      <c r="H74" s="110" t="s">
        <v>157</v>
      </c>
      <c r="I74" s="110" t="s">
        <v>158</v>
      </c>
      <c r="J74" s="111" t="s">
        <v>159</v>
      </c>
      <c r="K74" s="57"/>
      <c r="L74" s="57"/>
      <c r="M74" s="57"/>
      <c r="N74" s="57"/>
    </row>
    <row r="75" spans="1:14 16383:16383" ht="15.75" thickBot="1" x14ac:dyDescent="0.3">
      <c r="A75" s="89" t="s">
        <v>142</v>
      </c>
      <c r="B75" s="116">
        <v>1210000</v>
      </c>
      <c r="C75" s="105"/>
      <c r="D75" s="117">
        <v>1150000</v>
      </c>
      <c r="E75" s="127">
        <v>0</v>
      </c>
      <c r="F75" s="116"/>
      <c r="G75" s="117"/>
      <c r="H75" s="116"/>
      <c r="I75" s="117"/>
      <c r="J75" s="102"/>
      <c r="K75" s="57"/>
      <c r="L75" s="57"/>
      <c r="M75" s="57"/>
      <c r="N75" s="57"/>
    </row>
    <row r="76" spans="1:14 16383:16383" ht="15.75" thickBot="1" x14ac:dyDescent="0.3">
      <c r="A76" s="89" t="s">
        <v>212</v>
      </c>
      <c r="B76" s="118"/>
      <c r="C76" s="118">
        <v>-200000</v>
      </c>
      <c r="D76" s="118"/>
      <c r="E76" s="118">
        <v>-220000</v>
      </c>
      <c r="F76" s="118"/>
      <c r="G76" s="118"/>
      <c r="H76" s="118"/>
      <c r="I76" s="118"/>
      <c r="J76" s="119"/>
      <c r="K76" s="57"/>
      <c r="L76" s="57"/>
      <c r="M76" s="57"/>
      <c r="N76" s="57"/>
    </row>
    <row r="77" spans="1:14 16383:16383" x14ac:dyDescent="0.25">
      <c r="A77" s="108" t="s">
        <v>207</v>
      </c>
      <c r="B77" s="101"/>
      <c r="C77" s="101">
        <v>-250000</v>
      </c>
      <c r="D77" s="101"/>
      <c r="E77" s="101">
        <v>0</v>
      </c>
      <c r="F77" s="101"/>
      <c r="G77" s="101"/>
      <c r="H77" s="101"/>
      <c r="I77" s="101"/>
      <c r="J77" s="102"/>
      <c r="K77" s="57"/>
      <c r="L77" s="57"/>
      <c r="M77" s="57"/>
      <c r="N77" s="57"/>
    </row>
    <row r="78" spans="1:14 16383:16383" x14ac:dyDescent="0.25">
      <c r="A78" s="126" t="s">
        <v>213</v>
      </c>
      <c r="B78" s="101"/>
      <c r="C78" s="101">
        <v>-35000</v>
      </c>
      <c r="D78" s="101"/>
      <c r="E78" s="101">
        <v>-145000</v>
      </c>
      <c r="F78" s="101"/>
      <c r="G78" s="101"/>
      <c r="H78" s="101"/>
      <c r="I78" s="101"/>
      <c r="J78" s="102"/>
      <c r="K78" s="57"/>
      <c r="L78" s="57"/>
      <c r="M78" s="57"/>
      <c r="N78" s="57"/>
    </row>
    <row r="79" spans="1:14 16383:16383" x14ac:dyDescent="0.25">
      <c r="A79" s="126" t="s">
        <v>216</v>
      </c>
      <c r="B79" s="101"/>
      <c r="C79" s="101">
        <v>-20000</v>
      </c>
      <c r="D79" s="101"/>
      <c r="E79" s="101">
        <v>0</v>
      </c>
      <c r="F79" s="101"/>
      <c r="G79" s="101"/>
      <c r="H79" s="101"/>
      <c r="I79" s="101"/>
      <c r="J79" s="102"/>
      <c r="K79" s="57"/>
      <c r="L79" s="57"/>
      <c r="M79" s="57"/>
      <c r="N79" s="57"/>
    </row>
    <row r="80" spans="1:14 16383:16383" x14ac:dyDescent="0.25">
      <c r="A80" s="108" t="s">
        <v>92</v>
      </c>
      <c r="B80" s="101"/>
      <c r="C80" s="101">
        <v>-400000</v>
      </c>
      <c r="D80" s="101"/>
      <c r="E80" s="101">
        <v>-500000</v>
      </c>
      <c r="F80" s="101"/>
      <c r="G80" s="101"/>
      <c r="H80" s="101"/>
      <c r="I80" s="101"/>
      <c r="J80" s="120"/>
      <c r="K80" s="57"/>
      <c r="L80" s="57"/>
      <c r="M80" s="57"/>
      <c r="N80" s="57"/>
    </row>
    <row r="81" spans="1:14" x14ac:dyDescent="0.25">
      <c r="A81" s="112" t="s">
        <v>214</v>
      </c>
      <c r="B81" s="101"/>
      <c r="C81" s="101">
        <v>-120000</v>
      </c>
      <c r="D81" s="101"/>
      <c r="E81" s="101">
        <v>-100000</v>
      </c>
      <c r="F81" s="101"/>
      <c r="G81" s="101"/>
      <c r="H81" s="101"/>
      <c r="I81" s="101"/>
      <c r="J81" s="120"/>
      <c r="K81" s="57"/>
      <c r="L81" s="57"/>
      <c r="M81" s="57"/>
      <c r="N81" s="57"/>
    </row>
    <row r="82" spans="1:14" x14ac:dyDescent="0.25">
      <c r="A82" s="108" t="s">
        <v>208</v>
      </c>
      <c r="B82" s="101"/>
      <c r="C82" s="101">
        <v>-185000</v>
      </c>
      <c r="D82" s="101"/>
      <c r="E82" s="101">
        <v>-185000</v>
      </c>
      <c r="F82" s="101"/>
      <c r="G82" s="101"/>
      <c r="H82" s="101"/>
      <c r="I82" s="101"/>
      <c r="J82" s="120"/>
      <c r="K82" s="57"/>
      <c r="L82" s="57"/>
      <c r="M82" s="57"/>
      <c r="N82" s="57"/>
    </row>
    <row r="83" spans="1:14" x14ac:dyDescent="0.25">
      <c r="A83" s="108" t="s">
        <v>195</v>
      </c>
      <c r="B83" s="101">
        <f>SUBTOTAL(109,B75:B82)</f>
        <v>1210000</v>
      </c>
      <c r="C83" s="101">
        <f>SUBTOTAL(109,C75:C82)</f>
        <v>-1210000</v>
      </c>
      <c r="D83" s="101">
        <f>SUBTOTAL(109,D75:D82)</f>
        <v>1150000</v>
      </c>
      <c r="E83" s="101">
        <f>SUM(E75:E82)</f>
        <v>-1150000</v>
      </c>
      <c r="F83" s="101"/>
      <c r="G83" s="101"/>
      <c r="H83" s="101"/>
      <c r="I83" s="101"/>
      <c r="J83" s="120"/>
      <c r="K83" s="57"/>
      <c r="L83" s="57"/>
      <c r="M83" s="57"/>
      <c r="N83" s="57"/>
    </row>
    <row r="84" spans="1:14" x14ac:dyDescent="0.25">
      <c r="A84" s="112" t="s">
        <v>206</v>
      </c>
      <c r="B84" s="103">
        <f>B83+C83</f>
        <v>0</v>
      </c>
      <c r="C84" s="103"/>
      <c r="D84" s="103">
        <f>D83+E83</f>
        <v>0</v>
      </c>
      <c r="E84" s="103"/>
      <c r="F84" s="103"/>
      <c r="G84" s="103"/>
      <c r="H84" s="103"/>
      <c r="I84" s="103"/>
      <c r="J84" s="104"/>
      <c r="K84" s="57"/>
      <c r="L84" s="57"/>
      <c r="M84" s="57"/>
      <c r="N84" s="57"/>
    </row>
    <row r="85" spans="1:14" ht="15.75" thickBot="1" x14ac:dyDescent="0.3">
      <c r="A85" s="109" t="s">
        <v>149</v>
      </c>
      <c r="B85" s="93" t="s">
        <v>160</v>
      </c>
      <c r="C85" s="94" t="s">
        <v>161</v>
      </c>
      <c r="D85" s="96" t="s">
        <v>162</v>
      </c>
      <c r="E85" s="96" t="s">
        <v>163</v>
      </c>
      <c r="F85" s="105" t="s">
        <v>155</v>
      </c>
      <c r="G85" s="105" t="s">
        <v>156</v>
      </c>
      <c r="H85" s="105" t="s">
        <v>157</v>
      </c>
      <c r="I85" s="105" t="s">
        <v>158</v>
      </c>
      <c r="J85" s="121" t="s">
        <v>159</v>
      </c>
      <c r="K85" s="57"/>
      <c r="L85" s="57"/>
      <c r="M85" s="57"/>
      <c r="N85" s="57"/>
    </row>
    <row r="86" spans="1:14" ht="15.75" thickBot="1" x14ac:dyDescent="0.3">
      <c r="A86" s="89" t="s">
        <v>143</v>
      </c>
      <c r="B86" s="101">
        <v>330000</v>
      </c>
      <c r="C86" s="101"/>
      <c r="D86" s="101">
        <v>280000</v>
      </c>
      <c r="E86" s="101"/>
      <c r="F86" s="101"/>
      <c r="G86" s="101"/>
      <c r="H86" s="101"/>
      <c r="I86" s="101"/>
      <c r="J86" s="120"/>
      <c r="K86" s="57"/>
      <c r="L86" s="57"/>
      <c r="M86" s="57"/>
      <c r="N86" s="57"/>
    </row>
    <row r="87" spans="1:14" x14ac:dyDescent="0.25">
      <c r="A87" s="108" t="s">
        <v>210</v>
      </c>
      <c r="B87" s="101"/>
      <c r="C87" s="101">
        <v>-130000</v>
      </c>
      <c r="D87" s="101"/>
      <c r="E87" s="101">
        <v>-80000</v>
      </c>
      <c r="F87" s="101"/>
      <c r="G87" s="101"/>
      <c r="H87" s="101"/>
      <c r="I87" s="101"/>
      <c r="J87" s="120"/>
      <c r="K87" s="57"/>
      <c r="L87" s="57"/>
      <c r="M87" s="57"/>
      <c r="N87" s="57"/>
    </row>
    <row r="88" spans="1:14" x14ac:dyDescent="0.25">
      <c r="A88" s="108" t="s">
        <v>211</v>
      </c>
      <c r="B88" s="101"/>
      <c r="C88" s="101">
        <v>-200000</v>
      </c>
      <c r="D88" s="101"/>
      <c r="E88" s="101">
        <v>-200000</v>
      </c>
      <c r="F88" s="101"/>
      <c r="G88" s="101"/>
      <c r="H88" s="101"/>
      <c r="I88" s="101"/>
      <c r="J88" s="120"/>
      <c r="K88" s="57"/>
      <c r="L88" s="57"/>
      <c r="M88" s="57"/>
      <c r="N88" s="57"/>
    </row>
    <row r="89" spans="1:14" x14ac:dyDescent="0.25">
      <c r="A89" s="108" t="s">
        <v>195</v>
      </c>
      <c r="B89" s="101">
        <f>SUBTOTAL(109,B86:B88)</f>
        <v>330000</v>
      </c>
      <c r="C89" s="101">
        <f>SUBTOTAL(109,C86:C88)</f>
        <v>-330000</v>
      </c>
      <c r="D89" s="101">
        <f>SUM(D86:D88)</f>
        <v>280000</v>
      </c>
      <c r="E89" s="101">
        <f>SUBTOTAL(109,E86:E88)</f>
        <v>-280000</v>
      </c>
      <c r="F89" s="101"/>
      <c r="G89" s="101"/>
      <c r="H89" s="101"/>
      <c r="I89" s="101"/>
      <c r="J89" s="120"/>
      <c r="K89" s="57"/>
      <c r="L89" s="57"/>
      <c r="M89" s="57"/>
      <c r="N89" s="57"/>
    </row>
    <row r="90" spans="1:14" x14ac:dyDescent="0.25">
      <c r="A90" s="112" t="s">
        <v>206</v>
      </c>
      <c r="B90" s="103">
        <f>B89+C89</f>
        <v>0</v>
      </c>
      <c r="C90" s="103"/>
      <c r="D90" s="103">
        <f>D89+E89</f>
        <v>0</v>
      </c>
      <c r="E90" s="103"/>
      <c r="F90" s="103"/>
      <c r="G90" s="103"/>
      <c r="H90" s="103"/>
      <c r="I90" s="103"/>
      <c r="J90" s="122"/>
      <c r="K90" s="57"/>
      <c r="L90" s="57"/>
      <c r="M90" s="57"/>
      <c r="N90" s="57"/>
    </row>
    <row r="91" spans="1:14" ht="15.75" thickBot="1" x14ac:dyDescent="0.3">
      <c r="A91" s="109" t="s">
        <v>150</v>
      </c>
      <c r="B91" s="93" t="s">
        <v>160</v>
      </c>
      <c r="C91" s="94" t="s">
        <v>161</v>
      </c>
      <c r="D91" s="96" t="s">
        <v>162</v>
      </c>
      <c r="E91" s="96" t="s">
        <v>163</v>
      </c>
      <c r="F91" s="123" t="s">
        <v>155</v>
      </c>
      <c r="G91" s="123" t="s">
        <v>156</v>
      </c>
      <c r="H91" s="123" t="s">
        <v>157</v>
      </c>
      <c r="I91" s="123" t="s">
        <v>158</v>
      </c>
      <c r="J91" s="124" t="s">
        <v>159</v>
      </c>
      <c r="K91" s="57"/>
      <c r="L91" s="57"/>
      <c r="M91" s="57"/>
      <c r="N91" s="57"/>
    </row>
    <row r="92" spans="1:14" ht="15.75" thickBot="1" x14ac:dyDescent="0.3">
      <c r="A92" s="89" t="s">
        <v>144</v>
      </c>
      <c r="B92" s="101">
        <v>320000</v>
      </c>
      <c r="C92" s="101"/>
      <c r="D92" s="101">
        <v>320000</v>
      </c>
      <c r="E92" s="101">
        <f t="shared" ref="E92:E97" si="0">SUBTOTAL(109,E88:E91)</f>
        <v>-200000</v>
      </c>
      <c r="F92" s="101"/>
      <c r="G92" s="101"/>
      <c r="H92" s="101"/>
      <c r="I92" s="101"/>
      <c r="J92" s="102"/>
      <c r="K92" s="57"/>
      <c r="L92" s="57"/>
      <c r="M92" s="57"/>
      <c r="N92" s="57"/>
    </row>
    <row r="93" spans="1:14" x14ac:dyDescent="0.25">
      <c r="A93" s="108" t="s">
        <v>207</v>
      </c>
      <c r="B93" s="101"/>
      <c r="C93" s="101">
        <v>-25000</v>
      </c>
      <c r="D93" s="101"/>
      <c r="E93" s="101">
        <f t="shared" si="0"/>
        <v>0</v>
      </c>
      <c r="F93" s="101"/>
      <c r="G93" s="101"/>
      <c r="H93" s="101"/>
      <c r="I93" s="101"/>
      <c r="J93" s="102"/>
      <c r="K93" s="57"/>
      <c r="L93" s="57"/>
      <c r="M93" s="57"/>
      <c r="N93" s="57"/>
    </row>
    <row r="94" spans="1:14" x14ac:dyDescent="0.25">
      <c r="A94" s="112" t="s">
        <v>214</v>
      </c>
      <c r="B94" s="101"/>
      <c r="C94" s="101">
        <v>-60000</v>
      </c>
      <c r="D94" s="101"/>
      <c r="E94" s="101">
        <v>-85000</v>
      </c>
      <c r="F94" s="101"/>
      <c r="G94" s="101"/>
      <c r="H94" s="101"/>
      <c r="I94" s="101"/>
      <c r="J94" s="102"/>
      <c r="K94" s="57"/>
      <c r="L94" s="57"/>
      <c r="M94" s="57"/>
      <c r="N94" s="57"/>
    </row>
    <row r="95" spans="1:14" x14ac:dyDescent="0.25">
      <c r="A95" s="108" t="s">
        <v>208</v>
      </c>
      <c r="B95" s="101"/>
      <c r="C95" s="101">
        <v>-235000</v>
      </c>
      <c r="D95" s="101"/>
      <c r="E95" s="101">
        <v>-235000</v>
      </c>
      <c r="F95" s="101"/>
      <c r="G95" s="101"/>
      <c r="H95" s="101"/>
      <c r="I95" s="101"/>
      <c r="J95" s="102"/>
      <c r="K95" s="57"/>
      <c r="L95" s="57"/>
      <c r="M95" s="57"/>
      <c r="N95" s="57"/>
    </row>
    <row r="96" spans="1:14" x14ac:dyDescent="0.25">
      <c r="A96" s="108" t="s">
        <v>195</v>
      </c>
      <c r="B96" s="101">
        <f>SUBTOTAL(109,B92:B95)</f>
        <v>320000</v>
      </c>
      <c r="C96" s="101">
        <f>SUBTOTAL(109,C92:C95)</f>
        <v>-320000</v>
      </c>
      <c r="D96" s="101">
        <f>SUBTOTAL(109,D92:D95)</f>
        <v>320000</v>
      </c>
      <c r="E96" s="101">
        <f t="shared" si="0"/>
        <v>-320000</v>
      </c>
      <c r="F96" s="101"/>
      <c r="G96" s="101"/>
      <c r="H96" s="101"/>
      <c r="I96" s="101"/>
      <c r="J96" s="102"/>
      <c r="K96" s="57"/>
      <c r="L96" s="57"/>
      <c r="M96" s="57"/>
      <c r="N96" s="57"/>
    </row>
    <row r="97" spans="1:14" x14ac:dyDescent="0.25">
      <c r="A97" s="112" t="s">
        <v>206</v>
      </c>
      <c r="B97" s="103">
        <f>B96+C96</f>
        <v>0</v>
      </c>
      <c r="C97" s="103"/>
      <c r="D97" s="103">
        <f>D96+E96</f>
        <v>0</v>
      </c>
      <c r="E97" s="103">
        <f t="shared" si="0"/>
        <v>-320000</v>
      </c>
      <c r="F97" s="103"/>
      <c r="G97" s="103"/>
      <c r="H97" s="103"/>
      <c r="I97" s="103"/>
      <c r="J97" s="104"/>
      <c r="K97" s="57"/>
      <c r="L97" s="57"/>
      <c r="M97" s="57"/>
      <c r="N97" s="57"/>
    </row>
    <row r="98" spans="1:14" ht="15.75" thickBot="1" x14ac:dyDescent="0.3">
      <c r="A98" s="109" t="s">
        <v>151</v>
      </c>
      <c r="B98" s="93" t="s">
        <v>160</v>
      </c>
      <c r="C98" s="94" t="s">
        <v>161</v>
      </c>
      <c r="D98" s="96" t="s">
        <v>162</v>
      </c>
      <c r="E98" s="96" t="s">
        <v>163</v>
      </c>
      <c r="F98" s="105" t="s">
        <v>155</v>
      </c>
      <c r="G98" s="105" t="s">
        <v>156</v>
      </c>
      <c r="H98" s="105" t="s">
        <v>157</v>
      </c>
      <c r="I98" s="105" t="s">
        <v>158</v>
      </c>
      <c r="J98" s="124" t="s">
        <v>159</v>
      </c>
      <c r="K98" s="57"/>
      <c r="L98" s="57"/>
      <c r="M98" s="57"/>
      <c r="N98" s="57"/>
    </row>
    <row r="99" spans="1:14" ht="15.75" thickBot="1" x14ac:dyDescent="0.3">
      <c r="A99" s="90" t="s">
        <v>145</v>
      </c>
      <c r="B99" s="101">
        <v>20000</v>
      </c>
      <c r="C99" s="101"/>
      <c r="D99" s="101">
        <v>0</v>
      </c>
      <c r="E99" s="101"/>
      <c r="F99" s="101"/>
      <c r="G99" s="101"/>
      <c r="H99" s="101"/>
      <c r="I99" s="101"/>
      <c r="J99" s="102"/>
      <c r="K99" s="57"/>
      <c r="L99" s="57"/>
      <c r="M99" s="57"/>
      <c r="N99" s="57"/>
    </row>
    <row r="100" spans="1:14" ht="15.75" thickBot="1" x14ac:dyDescent="0.3">
      <c r="A100" s="89" t="s">
        <v>209</v>
      </c>
      <c r="B100" s="101"/>
      <c r="C100" s="101">
        <v>-20000</v>
      </c>
      <c r="D100" s="101"/>
      <c r="E100" s="101">
        <v>0</v>
      </c>
      <c r="F100" s="101"/>
      <c r="G100" s="101"/>
      <c r="H100" s="101"/>
      <c r="I100" s="101"/>
      <c r="J100" s="102"/>
      <c r="K100" s="57"/>
      <c r="L100" s="57"/>
      <c r="M100" s="57"/>
      <c r="N100" s="57"/>
    </row>
    <row r="101" spans="1:14" x14ac:dyDescent="0.25">
      <c r="A101" s="108" t="s">
        <v>195</v>
      </c>
      <c r="B101" s="101">
        <f>SUBTOTAL(109,B99:B100)</f>
        <v>20000</v>
      </c>
      <c r="C101" s="101">
        <f>SUBTOTAL(109,C99:C100)</f>
        <v>-20000</v>
      </c>
      <c r="D101" s="101"/>
      <c r="E101" s="101"/>
      <c r="F101" s="101"/>
      <c r="G101" s="101"/>
      <c r="H101" s="101"/>
      <c r="I101" s="101"/>
      <c r="J101" s="102"/>
      <c r="K101" s="57"/>
      <c r="L101" s="57"/>
      <c r="M101" s="57"/>
      <c r="N101" s="57"/>
    </row>
    <row r="102" spans="1:14" x14ac:dyDescent="0.25">
      <c r="A102" s="108" t="s">
        <v>206</v>
      </c>
      <c r="B102" s="101">
        <f>B101+C101</f>
        <v>0</v>
      </c>
      <c r="C102" s="101"/>
      <c r="D102" s="101"/>
      <c r="E102" s="101"/>
      <c r="F102" s="101"/>
      <c r="G102" s="101"/>
      <c r="H102" s="101"/>
      <c r="I102" s="101"/>
      <c r="J102" s="102"/>
      <c r="K102" s="57"/>
      <c r="L102" s="57"/>
      <c r="M102" s="57"/>
      <c r="N102" s="57"/>
    </row>
    <row r="103" spans="1:14" ht="15.75" thickBot="1" x14ac:dyDescent="0.3">
      <c r="A103" s="109" t="s">
        <v>152</v>
      </c>
      <c r="B103" s="93" t="s">
        <v>160</v>
      </c>
      <c r="C103" s="94" t="s">
        <v>161</v>
      </c>
      <c r="D103" s="96" t="s">
        <v>162</v>
      </c>
      <c r="E103" s="96" t="s">
        <v>163</v>
      </c>
      <c r="F103" s="105" t="s">
        <v>155</v>
      </c>
      <c r="G103" s="105" t="s">
        <v>156</v>
      </c>
      <c r="H103" s="105" t="s">
        <v>157</v>
      </c>
      <c r="I103" s="105" t="s">
        <v>158</v>
      </c>
      <c r="J103" s="124" t="s">
        <v>159</v>
      </c>
      <c r="K103" s="57"/>
      <c r="L103" s="57"/>
      <c r="M103" s="57"/>
      <c r="N103" s="57"/>
    </row>
    <row r="104" spans="1:14" ht="15.75" thickBot="1" x14ac:dyDescent="0.3">
      <c r="A104" s="90" t="s">
        <v>146</v>
      </c>
      <c r="B104" s="101">
        <v>493000</v>
      </c>
      <c r="C104" s="101"/>
      <c r="D104" s="101">
        <v>493000</v>
      </c>
      <c r="E104" s="101"/>
      <c r="F104" s="101"/>
      <c r="G104" s="101"/>
      <c r="H104" s="101"/>
      <c r="I104" s="101"/>
      <c r="J104" s="102"/>
      <c r="K104" s="57"/>
      <c r="L104" s="57"/>
      <c r="M104" s="57"/>
      <c r="N104" s="57"/>
    </row>
    <row r="105" spans="1:14" ht="15.75" thickBot="1" x14ac:dyDescent="0.3">
      <c r="A105" s="108" t="s">
        <v>92</v>
      </c>
      <c r="B105" s="101"/>
      <c r="C105" s="101">
        <v>-270000</v>
      </c>
      <c r="D105" s="101"/>
      <c r="E105" s="101">
        <v>-335000</v>
      </c>
      <c r="F105" s="101"/>
      <c r="G105" s="101"/>
      <c r="H105" s="101"/>
      <c r="I105" s="101"/>
      <c r="J105" s="102"/>
      <c r="K105" s="57"/>
      <c r="L105" s="57"/>
      <c r="M105" s="57"/>
      <c r="N105" s="57"/>
    </row>
    <row r="106" spans="1:14" ht="15.75" thickBot="1" x14ac:dyDescent="0.3">
      <c r="A106" s="89" t="s">
        <v>38</v>
      </c>
      <c r="B106" s="101"/>
      <c r="C106" s="101">
        <v>-145000</v>
      </c>
      <c r="D106" s="101"/>
      <c r="E106" s="101">
        <v>-158000</v>
      </c>
      <c r="F106" s="101"/>
      <c r="G106" s="101"/>
      <c r="H106" s="101"/>
      <c r="I106" s="101"/>
      <c r="J106" s="102"/>
      <c r="K106" s="57"/>
      <c r="L106" s="57"/>
      <c r="M106" s="57"/>
      <c r="N106" s="57"/>
    </row>
    <row r="107" spans="1:14" x14ac:dyDescent="0.25">
      <c r="A107" s="108" t="s">
        <v>205</v>
      </c>
      <c r="B107" s="101"/>
      <c r="C107" s="101">
        <v>-78000</v>
      </c>
      <c r="D107" s="101"/>
      <c r="E107" s="101"/>
      <c r="F107" s="101"/>
      <c r="G107" s="101"/>
      <c r="H107" s="101"/>
      <c r="I107" s="101"/>
      <c r="J107" s="102"/>
      <c r="K107" s="57"/>
      <c r="L107" s="57"/>
      <c r="M107" s="57"/>
      <c r="N107" s="57"/>
    </row>
    <row r="108" spans="1:14" x14ac:dyDescent="0.25">
      <c r="A108" s="108"/>
      <c r="B108" s="101"/>
      <c r="C108" s="101"/>
      <c r="D108" s="101"/>
      <c r="E108" s="101"/>
      <c r="F108" s="101"/>
      <c r="G108" s="101"/>
      <c r="H108" s="101"/>
      <c r="I108" s="101"/>
      <c r="J108" s="102"/>
      <c r="K108" s="57"/>
      <c r="L108" s="57"/>
      <c r="M108" s="57"/>
      <c r="N108" s="57"/>
    </row>
    <row r="109" spans="1:14" x14ac:dyDescent="0.25">
      <c r="A109" s="108" t="s">
        <v>195</v>
      </c>
      <c r="B109" s="125">
        <f>SUBTOTAL(109,B104:B108)</f>
        <v>493000</v>
      </c>
      <c r="C109" s="125">
        <f>SUBTOTAL(109,C104:C108)</f>
        <v>-493000</v>
      </c>
      <c r="D109" s="125">
        <f>SUM(D104:D108)</f>
        <v>493000</v>
      </c>
      <c r="E109" s="125">
        <f>SUM(E104:E108)</f>
        <v>-493000</v>
      </c>
      <c r="F109" s="101"/>
      <c r="G109" s="101"/>
      <c r="H109" s="101"/>
      <c r="I109" s="101"/>
      <c r="J109" s="102"/>
      <c r="K109" s="57"/>
      <c r="L109" s="57"/>
      <c r="M109" s="57"/>
      <c r="N109" s="57"/>
    </row>
    <row r="110" spans="1:14" x14ac:dyDescent="0.25">
      <c r="A110" s="112" t="s">
        <v>206</v>
      </c>
      <c r="B110" s="103">
        <f>B109+C109</f>
        <v>0</v>
      </c>
      <c r="C110" s="103"/>
      <c r="D110" s="103">
        <f>D109+E109</f>
        <v>0</v>
      </c>
      <c r="E110" s="103"/>
      <c r="F110" s="103"/>
      <c r="G110" s="103"/>
      <c r="H110" s="103"/>
      <c r="I110" s="103"/>
      <c r="J110" s="104"/>
      <c r="K110" s="57"/>
      <c r="L110" s="57"/>
      <c r="M110" s="57"/>
      <c r="N110" s="57"/>
    </row>
  </sheetData>
  <phoneticPr fontId="17" type="noConversion"/>
  <pageMargins left="0.70866141732283472" right="0.70866141732283472" top="0.74803149606299213" bottom="0.74803149606299213" header="0.31496062992125984" footer="0.31496062992125984"/>
  <pageSetup paperSize="9" scale="70" fitToWidth="0" orientation="portrait" r:id="rId1"/>
  <legacyDrawing r:id="rId2"/>
  <tableParts count="8"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57EB5-E13E-4C65-BC9A-30FCD4D256CC}">
  <dimension ref="A1:S35"/>
  <sheetViews>
    <sheetView topLeftCell="E12" workbookViewId="0">
      <selection activeCell="O30" sqref="O30"/>
    </sheetView>
  </sheetViews>
  <sheetFormatPr defaultRowHeight="15" x14ac:dyDescent="0.25"/>
  <cols>
    <col min="1" max="1" width="27.28515625" bestFit="1" customWidth="1"/>
    <col min="15" max="15" width="14.28515625" bestFit="1" customWidth="1"/>
  </cols>
  <sheetData>
    <row r="1" spans="1:19" x14ac:dyDescent="0.25">
      <c r="A1" t="s">
        <v>196</v>
      </c>
      <c r="B1" t="s">
        <v>172</v>
      </c>
      <c r="C1" t="s">
        <v>173</v>
      </c>
      <c r="D1" t="s">
        <v>174</v>
      </c>
      <c r="E1" t="s">
        <v>175</v>
      </c>
      <c r="F1" t="s">
        <v>176</v>
      </c>
      <c r="G1" t="s">
        <v>177</v>
      </c>
      <c r="H1" t="s">
        <v>178</v>
      </c>
      <c r="I1" t="s">
        <v>179</v>
      </c>
      <c r="J1" t="s">
        <v>180</v>
      </c>
      <c r="K1" t="s">
        <v>181</v>
      </c>
      <c r="L1" t="s">
        <v>182</v>
      </c>
      <c r="M1" t="s">
        <v>183</v>
      </c>
      <c r="N1" t="s">
        <v>186</v>
      </c>
      <c r="O1" t="s">
        <v>170</v>
      </c>
    </row>
    <row r="2" spans="1:19" x14ac:dyDescent="0.25">
      <c r="A2" t="s">
        <v>184</v>
      </c>
      <c r="B2" s="57">
        <v>15488</v>
      </c>
      <c r="C2" s="57">
        <v>7726</v>
      </c>
      <c r="D2" s="57">
        <v>7776</v>
      </c>
      <c r="E2" s="57">
        <v>7751</v>
      </c>
      <c r="F2" s="57">
        <v>7751</v>
      </c>
      <c r="G2" s="57">
        <v>7752</v>
      </c>
      <c r="H2" s="57">
        <v>7751</v>
      </c>
      <c r="I2" s="57">
        <v>7751</v>
      </c>
      <c r="J2" s="57">
        <v>7751</v>
      </c>
      <c r="K2" s="57">
        <v>7761</v>
      </c>
      <c r="L2" s="113">
        <v>7761</v>
      </c>
      <c r="M2" s="113">
        <v>7761</v>
      </c>
      <c r="N2" s="57">
        <f>SUM(Tabell11[[#This Row],[Jan]:[Dec]])</f>
        <v>100780</v>
      </c>
      <c r="O2" t="s">
        <v>185</v>
      </c>
    </row>
    <row r="3" spans="1:19" x14ac:dyDescent="0.25">
      <c r="A3" t="s">
        <v>187</v>
      </c>
      <c r="B3" s="57"/>
      <c r="C3" s="57"/>
      <c r="D3" s="57">
        <v>7701</v>
      </c>
      <c r="E3" s="57">
        <v>3732</v>
      </c>
      <c r="F3" s="57"/>
      <c r="G3" s="57">
        <v>3885</v>
      </c>
      <c r="H3" s="57"/>
      <c r="I3" s="57"/>
      <c r="J3" s="57">
        <v>3947</v>
      </c>
      <c r="K3" s="57">
        <v>3885</v>
      </c>
      <c r="L3" s="113">
        <v>3885</v>
      </c>
      <c r="M3" s="113">
        <v>3885</v>
      </c>
      <c r="N3" s="57">
        <f>SUM(Tabell11[[#This Row],[Jan]:[Dec]])</f>
        <v>30920</v>
      </c>
      <c r="O3" t="s">
        <v>188</v>
      </c>
    </row>
    <row r="4" spans="1:19" x14ac:dyDescent="0.25">
      <c r="A4" t="s">
        <v>189</v>
      </c>
      <c r="B4" s="57">
        <v>9221</v>
      </c>
      <c r="C4" s="57">
        <v>33634</v>
      </c>
      <c r="D4" s="57">
        <v>33624</v>
      </c>
      <c r="E4" s="57">
        <v>32249</v>
      </c>
      <c r="F4" s="57">
        <v>32625</v>
      </c>
      <c r="G4" s="57">
        <f>27307+3876+281+1123</f>
        <v>32587</v>
      </c>
      <c r="H4" s="57">
        <v>40405</v>
      </c>
      <c r="I4" s="57">
        <v>34434</v>
      </c>
      <c r="J4" s="57">
        <v>33834</v>
      </c>
      <c r="K4" s="57">
        <v>35588</v>
      </c>
      <c r="L4" s="113">
        <v>35588</v>
      </c>
      <c r="M4" s="113">
        <v>35588</v>
      </c>
      <c r="N4" s="57">
        <f>SUM(Tabell11[[#This Row],[Jan]:[Dec]])</f>
        <v>389377</v>
      </c>
    </row>
    <row r="5" spans="1:19" x14ac:dyDescent="0.25">
      <c r="A5" t="s">
        <v>190</v>
      </c>
      <c r="B5" s="57">
        <v>2754</v>
      </c>
      <c r="C5" s="57">
        <v>14266</v>
      </c>
      <c r="D5" s="57">
        <v>14266</v>
      </c>
      <c r="E5" s="57">
        <v>14266</v>
      </c>
      <c r="F5" s="57">
        <v>17716</v>
      </c>
      <c r="G5" s="57">
        <v>14266</v>
      </c>
      <c r="H5" s="57">
        <v>16708</v>
      </c>
      <c r="I5" s="57">
        <v>15114</v>
      </c>
      <c r="J5" s="57">
        <v>14478</v>
      </c>
      <c r="K5" s="57">
        <v>14902</v>
      </c>
      <c r="L5" s="113">
        <v>14902</v>
      </c>
      <c r="M5" s="113">
        <v>14902</v>
      </c>
      <c r="N5" s="57">
        <f>SUM(Tabell11[[#This Row],[Jan]:[Dec]])</f>
        <v>168540</v>
      </c>
    </row>
    <row r="6" spans="1:19" x14ac:dyDescent="0.25">
      <c r="A6" t="s">
        <v>194</v>
      </c>
      <c r="B6" s="57">
        <v>3762</v>
      </c>
      <c r="C6" s="57">
        <v>15050</v>
      </c>
      <c r="D6" s="57">
        <v>15050</v>
      </c>
      <c r="E6" s="57">
        <v>15050</v>
      </c>
      <c r="F6" s="57">
        <v>17038</v>
      </c>
      <c r="G6" s="57">
        <v>15050</v>
      </c>
      <c r="H6" s="57">
        <v>16497</v>
      </c>
      <c r="I6" s="57">
        <v>15567</v>
      </c>
      <c r="J6" s="57">
        <v>15179</v>
      </c>
      <c r="K6" s="57">
        <v>15457</v>
      </c>
      <c r="L6" s="113">
        <v>15457</v>
      </c>
      <c r="M6" s="113">
        <v>15457</v>
      </c>
      <c r="N6" s="57">
        <f>SUM(Tabell11[[#This Row],[Jan]:[Dec]])</f>
        <v>174614</v>
      </c>
    </row>
    <row r="7" spans="1:19" x14ac:dyDescent="0.25">
      <c r="A7" t="s">
        <v>191</v>
      </c>
      <c r="B7" s="57"/>
      <c r="C7" s="57"/>
      <c r="D7" s="57"/>
      <c r="E7" s="57">
        <v>1806</v>
      </c>
      <c r="F7" s="57">
        <v>1806</v>
      </c>
      <c r="G7" s="57">
        <v>1806</v>
      </c>
      <c r="H7" s="57">
        <v>1806</v>
      </c>
      <c r="I7" s="57">
        <v>-4250</v>
      </c>
      <c r="J7" s="57">
        <v>292</v>
      </c>
      <c r="K7" s="57">
        <v>1806</v>
      </c>
      <c r="L7" s="113">
        <v>1806</v>
      </c>
      <c r="M7" s="113">
        <v>1806</v>
      </c>
      <c r="N7" s="57">
        <f>SUM(Tabell11[[#This Row],[Jan]:[Dec]])</f>
        <v>8684</v>
      </c>
    </row>
    <row r="8" spans="1:19" x14ac:dyDescent="0.25">
      <c r="A8" t="s">
        <v>192</v>
      </c>
      <c r="B8" s="57"/>
      <c r="C8" s="57"/>
      <c r="D8" s="57"/>
      <c r="E8" s="57">
        <v>5748</v>
      </c>
      <c r="F8" s="57">
        <v>5758</v>
      </c>
      <c r="G8" s="57">
        <v>5748</v>
      </c>
      <c r="H8" s="57">
        <v>5748</v>
      </c>
      <c r="I8" s="57">
        <v>-13527</v>
      </c>
      <c r="J8" s="57">
        <v>929</v>
      </c>
      <c r="K8" s="57">
        <v>5748</v>
      </c>
      <c r="L8" s="113">
        <v>5748</v>
      </c>
      <c r="M8" s="113">
        <v>5748</v>
      </c>
      <c r="N8" s="57">
        <f>SUM(Tabell11[[#This Row],[Jan]:[Dec]])</f>
        <v>27648</v>
      </c>
    </row>
    <row r="9" spans="1:19" x14ac:dyDescent="0.25">
      <c r="A9" t="s">
        <v>193</v>
      </c>
      <c r="B9" s="57"/>
      <c r="C9" s="57"/>
      <c r="D9" s="57"/>
      <c r="E9" s="57"/>
      <c r="F9" s="57"/>
      <c r="G9" s="57"/>
      <c r="H9" s="57"/>
      <c r="I9" s="57">
        <v>19275</v>
      </c>
      <c r="J9" s="57">
        <v>4819</v>
      </c>
      <c r="K9" s="57"/>
      <c r="L9" s="113"/>
      <c r="M9" s="113"/>
      <c r="N9" s="57">
        <f>SUM(Tabell11[[#This Row],[Jan]:[Dec]])</f>
        <v>24094</v>
      </c>
    </row>
    <row r="10" spans="1:19" x14ac:dyDescent="0.25">
      <c r="A10" s="3" t="s">
        <v>195</v>
      </c>
      <c r="B10" s="69">
        <f t="shared" ref="B10:M10" si="0">SUBTOTAL(109,B2:B9)</f>
        <v>31225</v>
      </c>
      <c r="C10" s="69">
        <f t="shared" si="0"/>
        <v>70676</v>
      </c>
      <c r="D10" s="69">
        <f t="shared" si="0"/>
        <v>78417</v>
      </c>
      <c r="E10" s="69">
        <f t="shared" si="0"/>
        <v>80602</v>
      </c>
      <c r="F10" s="69">
        <f t="shared" si="0"/>
        <v>82694</v>
      </c>
      <c r="G10" s="69">
        <f t="shared" si="0"/>
        <v>81094</v>
      </c>
      <c r="H10" s="69">
        <f t="shared" si="0"/>
        <v>88915</v>
      </c>
      <c r="I10" s="69">
        <f t="shared" si="0"/>
        <v>74364</v>
      </c>
      <c r="J10" s="69">
        <f t="shared" si="0"/>
        <v>81229</v>
      </c>
      <c r="K10" s="69">
        <f t="shared" si="0"/>
        <v>85147</v>
      </c>
      <c r="L10" s="69">
        <f t="shared" si="0"/>
        <v>85147</v>
      </c>
      <c r="M10" s="69">
        <f t="shared" si="0"/>
        <v>85147</v>
      </c>
      <c r="N10" s="69">
        <f>SUM(Tabell11[[#This Row],[Jan]:[Dec]])</f>
        <v>924657</v>
      </c>
      <c r="O10" s="3"/>
    </row>
    <row r="12" spans="1:19" x14ac:dyDescent="0.25">
      <c r="A12" t="s">
        <v>197</v>
      </c>
      <c r="B12" t="s">
        <v>172</v>
      </c>
      <c r="C12" t="s">
        <v>173</v>
      </c>
      <c r="D12" t="s">
        <v>174</v>
      </c>
      <c r="E12" t="s">
        <v>175</v>
      </c>
      <c r="F12" t="s">
        <v>176</v>
      </c>
      <c r="G12" t="s">
        <v>177</v>
      </c>
      <c r="H12" t="s">
        <v>178</v>
      </c>
      <c r="I12" t="s">
        <v>179</v>
      </c>
      <c r="J12" t="s">
        <v>180</v>
      </c>
      <c r="K12" t="s">
        <v>181</v>
      </c>
      <c r="L12" t="s">
        <v>182</v>
      </c>
      <c r="M12" t="s">
        <v>183</v>
      </c>
      <c r="N12" t="s">
        <v>186</v>
      </c>
      <c r="O12" t="s">
        <v>170</v>
      </c>
      <c r="P12" t="s">
        <v>138</v>
      </c>
      <c r="Q12" t="s">
        <v>153</v>
      </c>
      <c r="R12" t="s">
        <v>154</v>
      </c>
      <c r="S12" t="s">
        <v>215</v>
      </c>
    </row>
    <row r="13" spans="1:19" x14ac:dyDescent="0.25">
      <c r="A13" t="s">
        <v>184</v>
      </c>
      <c r="B13" s="57">
        <v>7776</v>
      </c>
      <c r="C13" s="57">
        <v>7776</v>
      </c>
      <c r="D13" s="57">
        <v>7776</v>
      </c>
      <c r="E13" s="57">
        <v>7751</v>
      </c>
      <c r="F13" s="57">
        <v>7751</v>
      </c>
      <c r="G13" s="57">
        <v>7752</v>
      </c>
      <c r="H13" s="57">
        <v>7751</v>
      </c>
      <c r="I13" s="57">
        <v>7751</v>
      </c>
      <c r="J13" s="57">
        <v>7751</v>
      </c>
      <c r="K13" s="57">
        <v>7761</v>
      </c>
      <c r="L13" s="113">
        <v>7761</v>
      </c>
      <c r="M13" s="113">
        <v>7761</v>
      </c>
      <c r="N13" s="57">
        <f>SUM(Tabell1113[[#This Row],[Jan]:[Dec]])*1.025</f>
        <v>95445.95</v>
      </c>
      <c r="O13" t="s">
        <v>185</v>
      </c>
      <c r="P13" s="57">
        <f t="shared" ref="P13:P21" si="1">N13*Q13</f>
        <v>0</v>
      </c>
      <c r="Q13" s="57"/>
      <c r="R13" s="57"/>
      <c r="S13" s="57"/>
    </row>
    <row r="14" spans="1:19" x14ac:dyDescent="0.25">
      <c r="A14" t="s">
        <v>187</v>
      </c>
      <c r="B14" s="57">
        <v>7701</v>
      </c>
      <c r="C14" s="57">
        <v>7701</v>
      </c>
      <c r="D14" s="57">
        <v>7701</v>
      </c>
      <c r="E14" s="57">
        <v>3732</v>
      </c>
      <c r="F14" s="57"/>
      <c r="G14" s="57">
        <v>3885</v>
      </c>
      <c r="H14" s="57"/>
      <c r="I14" s="57"/>
      <c r="J14" s="57">
        <v>3947</v>
      </c>
      <c r="K14" s="57">
        <v>3885</v>
      </c>
      <c r="L14" s="113">
        <v>3885</v>
      </c>
      <c r="M14" s="113">
        <v>3885</v>
      </c>
      <c r="N14" s="57">
        <f>SUM(Tabell1113[[#This Row],[Jan]:[Dec]])*1.025</f>
        <v>47480.049999999996</v>
      </c>
      <c r="O14" t="s">
        <v>188</v>
      </c>
      <c r="P14" s="57">
        <f t="shared" si="1"/>
        <v>0</v>
      </c>
      <c r="Q14" s="57"/>
      <c r="R14" s="57"/>
      <c r="S14" s="57"/>
    </row>
    <row r="15" spans="1:19" x14ac:dyDescent="0.25">
      <c r="A15" t="s">
        <v>189</v>
      </c>
      <c r="B15" s="57">
        <v>33624</v>
      </c>
      <c r="C15" s="57">
        <v>33624</v>
      </c>
      <c r="D15" s="57">
        <v>33624</v>
      </c>
      <c r="E15" s="57">
        <v>32249</v>
      </c>
      <c r="F15" s="57">
        <v>32625</v>
      </c>
      <c r="G15" s="57">
        <f>27307+3876+281+1123</f>
        <v>32587</v>
      </c>
      <c r="H15" s="57">
        <v>40405</v>
      </c>
      <c r="I15" s="57">
        <v>34434</v>
      </c>
      <c r="J15" s="57">
        <v>33834</v>
      </c>
      <c r="K15" s="57">
        <v>35588</v>
      </c>
      <c r="L15" s="113">
        <v>35588</v>
      </c>
      <c r="M15" s="113">
        <v>35588</v>
      </c>
      <c r="N15" s="57">
        <f>SUM(Tabell1113[[#This Row],[Jan]:[Dec]])*1.025</f>
        <v>424114.24999999994</v>
      </c>
      <c r="P15" s="57">
        <f t="shared" si="1"/>
        <v>0</v>
      </c>
      <c r="Q15" s="57"/>
      <c r="R15" s="57"/>
      <c r="S15" s="57"/>
    </row>
    <row r="16" spans="1:19" x14ac:dyDescent="0.25">
      <c r="A16" t="s">
        <v>190</v>
      </c>
      <c r="B16" s="57">
        <v>14266</v>
      </c>
      <c r="C16" s="57">
        <v>14266</v>
      </c>
      <c r="D16" s="57">
        <v>14266</v>
      </c>
      <c r="E16" s="57">
        <v>14266</v>
      </c>
      <c r="F16" s="57">
        <v>17716</v>
      </c>
      <c r="G16" s="57">
        <v>14266</v>
      </c>
      <c r="H16" s="57">
        <v>16708</v>
      </c>
      <c r="I16" s="57">
        <v>15114</v>
      </c>
      <c r="J16" s="57">
        <v>14478</v>
      </c>
      <c r="K16" s="57">
        <v>14902</v>
      </c>
      <c r="L16" s="113">
        <v>14902</v>
      </c>
      <c r="M16" s="113">
        <v>14902</v>
      </c>
      <c r="N16" s="57">
        <f>SUM(Tabell1113[[#This Row],[Jan]:[Dec]])*1.025</f>
        <v>184553.3</v>
      </c>
      <c r="P16" s="57">
        <f t="shared" si="1"/>
        <v>0</v>
      </c>
      <c r="Q16" s="57"/>
      <c r="R16" s="57"/>
      <c r="S16" s="57"/>
    </row>
    <row r="17" spans="1:19" x14ac:dyDescent="0.25">
      <c r="A17" t="s">
        <v>194</v>
      </c>
      <c r="B17" s="57">
        <v>15050</v>
      </c>
      <c r="C17" s="57">
        <v>15050</v>
      </c>
      <c r="D17" s="57">
        <v>15050</v>
      </c>
      <c r="E17" s="57">
        <v>15050</v>
      </c>
      <c r="F17" s="57">
        <v>17038</v>
      </c>
      <c r="G17" s="57">
        <v>15050</v>
      </c>
      <c r="H17" s="57">
        <v>16497</v>
      </c>
      <c r="I17" s="57">
        <v>15567</v>
      </c>
      <c r="J17" s="57">
        <v>15179</v>
      </c>
      <c r="K17" s="57">
        <v>15457</v>
      </c>
      <c r="L17" s="113">
        <v>15457</v>
      </c>
      <c r="M17" s="113">
        <v>15457</v>
      </c>
      <c r="N17" s="57">
        <f>SUM(Tabell1113[[#This Row],[Jan]:[Dec]])*1.025</f>
        <v>190549.55</v>
      </c>
      <c r="P17" s="57">
        <f t="shared" si="1"/>
        <v>0</v>
      </c>
      <c r="Q17" s="57"/>
      <c r="R17" s="57"/>
      <c r="S17" s="57"/>
    </row>
    <row r="18" spans="1:19" x14ac:dyDescent="0.25">
      <c r="A18" t="s">
        <v>191</v>
      </c>
      <c r="B18" s="57">
        <v>1806</v>
      </c>
      <c r="C18" s="57">
        <v>1806</v>
      </c>
      <c r="D18" s="57">
        <v>1806</v>
      </c>
      <c r="E18" s="57">
        <v>1806</v>
      </c>
      <c r="F18" s="57">
        <v>1806</v>
      </c>
      <c r="G18" s="57">
        <v>1806</v>
      </c>
      <c r="H18" s="57">
        <v>1806</v>
      </c>
      <c r="I18" s="57">
        <v>-4250</v>
      </c>
      <c r="J18" s="57">
        <v>292</v>
      </c>
      <c r="K18" s="57">
        <v>1806</v>
      </c>
      <c r="L18" s="113">
        <v>1806</v>
      </c>
      <c r="M18" s="113">
        <v>1806</v>
      </c>
      <c r="N18" s="57">
        <f>SUM(Tabell1113[[#This Row],[Jan]:[Dec]])*1.025</f>
        <v>14454.55</v>
      </c>
      <c r="P18" s="57">
        <f t="shared" si="1"/>
        <v>0</v>
      </c>
      <c r="Q18" s="57"/>
      <c r="R18" s="57"/>
      <c r="S18" s="57"/>
    </row>
    <row r="19" spans="1:19" x14ac:dyDescent="0.25">
      <c r="A19" t="s">
        <v>192</v>
      </c>
      <c r="B19" s="57">
        <v>5748</v>
      </c>
      <c r="C19" s="57">
        <v>5748</v>
      </c>
      <c r="D19" s="57">
        <v>5748</v>
      </c>
      <c r="E19" s="57">
        <v>5748</v>
      </c>
      <c r="F19" s="57">
        <v>5758</v>
      </c>
      <c r="G19" s="57">
        <v>5748</v>
      </c>
      <c r="H19" s="57">
        <v>5748</v>
      </c>
      <c r="I19" s="57">
        <v>-13527</v>
      </c>
      <c r="J19" s="57">
        <v>929</v>
      </c>
      <c r="K19" s="57">
        <v>5748</v>
      </c>
      <c r="L19" s="113">
        <v>5748</v>
      </c>
      <c r="M19" s="113">
        <v>5748</v>
      </c>
      <c r="N19" s="57">
        <f>SUM(Tabell1113[[#This Row],[Jan]:[Dec]])*1.025</f>
        <v>46014.299999999996</v>
      </c>
      <c r="P19" s="57">
        <f t="shared" si="1"/>
        <v>0</v>
      </c>
      <c r="Q19" s="57"/>
      <c r="R19" s="57"/>
      <c r="S19" s="57"/>
    </row>
    <row r="20" spans="1:19" x14ac:dyDescent="0.25">
      <c r="A20" t="s">
        <v>193</v>
      </c>
      <c r="B20" s="57"/>
      <c r="C20" s="57"/>
      <c r="D20" s="57"/>
      <c r="E20" s="57"/>
      <c r="F20" s="57"/>
      <c r="G20" s="57"/>
      <c r="H20" s="57"/>
      <c r="I20" s="57">
        <v>19275</v>
      </c>
      <c r="J20" s="57">
        <v>4819</v>
      </c>
      <c r="K20" s="57"/>
      <c r="L20" s="113"/>
      <c r="M20" s="113"/>
      <c r="N20" s="57">
        <f>SUM(Tabell1113[[#This Row],[Jan]:[Dec]])*1.025</f>
        <v>24696.35</v>
      </c>
      <c r="P20" s="57">
        <f t="shared" si="1"/>
        <v>0</v>
      </c>
      <c r="Q20" s="57"/>
      <c r="R20" s="57"/>
      <c r="S20" s="57"/>
    </row>
    <row r="21" spans="1:19" x14ac:dyDescent="0.25">
      <c r="A21" s="3" t="s">
        <v>195</v>
      </c>
      <c r="B21" s="69">
        <f t="shared" ref="B21:M21" si="2">SUBTOTAL(109,B13:B20)</f>
        <v>85971</v>
      </c>
      <c r="C21" s="69">
        <f t="shared" si="2"/>
        <v>85971</v>
      </c>
      <c r="D21" s="69">
        <f t="shared" si="2"/>
        <v>85971</v>
      </c>
      <c r="E21" s="69">
        <f t="shared" si="2"/>
        <v>80602</v>
      </c>
      <c r="F21" s="69">
        <f t="shared" si="2"/>
        <v>82694</v>
      </c>
      <c r="G21" s="69">
        <f t="shared" si="2"/>
        <v>81094</v>
      </c>
      <c r="H21" s="69">
        <f t="shared" si="2"/>
        <v>88915</v>
      </c>
      <c r="I21" s="69">
        <f t="shared" si="2"/>
        <v>74364</v>
      </c>
      <c r="J21" s="69">
        <f t="shared" si="2"/>
        <v>81229</v>
      </c>
      <c r="K21" s="69">
        <f t="shared" si="2"/>
        <v>85147</v>
      </c>
      <c r="L21" s="69">
        <f t="shared" si="2"/>
        <v>85147</v>
      </c>
      <c r="M21" s="69">
        <f t="shared" si="2"/>
        <v>85147</v>
      </c>
      <c r="N21" s="69">
        <f>SUM(Tabell1113[[#This Row],[Jan]:[Dec]])*1.025</f>
        <v>1027308.2999999999</v>
      </c>
      <c r="O21" s="114" t="s">
        <v>198</v>
      </c>
      <c r="P21" s="57">
        <f t="shared" si="1"/>
        <v>154096.245</v>
      </c>
      <c r="Q21" s="115">
        <v>0.15</v>
      </c>
      <c r="R21" s="57" t="s">
        <v>201</v>
      </c>
      <c r="S21" s="57">
        <f t="shared" ref="S21" si="3">N21*1.025</f>
        <v>1052991.0074999998</v>
      </c>
    </row>
    <row r="23" spans="1:19" x14ac:dyDescent="0.25">
      <c r="A23" t="s">
        <v>199</v>
      </c>
      <c r="B23" t="s">
        <v>172</v>
      </c>
      <c r="C23" t="s">
        <v>173</v>
      </c>
      <c r="D23" t="s">
        <v>174</v>
      </c>
      <c r="E23" t="s">
        <v>175</v>
      </c>
      <c r="F23" t="s">
        <v>176</v>
      </c>
      <c r="G23" t="s">
        <v>177</v>
      </c>
      <c r="H23" t="s">
        <v>178</v>
      </c>
      <c r="I23" t="s">
        <v>179</v>
      </c>
      <c r="J23" t="s">
        <v>180</v>
      </c>
      <c r="K23" t="s">
        <v>181</v>
      </c>
      <c r="L23" t="s">
        <v>182</v>
      </c>
      <c r="M23" t="s">
        <v>183</v>
      </c>
      <c r="N23" t="s">
        <v>186</v>
      </c>
      <c r="O23" t="s">
        <v>170</v>
      </c>
    </row>
    <row r="24" spans="1:19" x14ac:dyDescent="0.25">
      <c r="A24" t="s">
        <v>184</v>
      </c>
      <c r="B24" s="57">
        <v>7776</v>
      </c>
      <c r="C24" s="57">
        <v>7776</v>
      </c>
      <c r="D24" s="57">
        <v>7776</v>
      </c>
      <c r="E24" s="57">
        <v>7751</v>
      </c>
      <c r="F24" s="57">
        <v>7751</v>
      </c>
      <c r="G24" s="57">
        <v>7752</v>
      </c>
      <c r="H24" s="57">
        <v>7751</v>
      </c>
      <c r="I24" s="57">
        <v>7751</v>
      </c>
      <c r="J24" s="57">
        <v>7751</v>
      </c>
      <c r="K24" s="57">
        <v>7761</v>
      </c>
      <c r="L24" s="113">
        <v>7761</v>
      </c>
      <c r="M24" s="113">
        <v>7761</v>
      </c>
      <c r="N24" s="57">
        <f>SUM(Tabell111314[[#This Row],[Jan]:[Dec]])*0.55*0.2</f>
        <v>10242.980000000001</v>
      </c>
      <c r="O24" t="s">
        <v>185</v>
      </c>
    </row>
    <row r="25" spans="1:19" x14ac:dyDescent="0.25">
      <c r="A25" t="s">
        <v>187</v>
      </c>
      <c r="B25" s="57">
        <v>7701</v>
      </c>
      <c r="C25" s="57">
        <v>7701</v>
      </c>
      <c r="D25" s="57">
        <v>7701</v>
      </c>
      <c r="E25" s="57">
        <v>3732</v>
      </c>
      <c r="F25" s="57"/>
      <c r="G25" s="57">
        <v>3885</v>
      </c>
      <c r="H25" s="57"/>
      <c r="I25" s="57"/>
      <c r="J25" s="57">
        <v>3947</v>
      </c>
      <c r="K25" s="57">
        <v>3885</v>
      </c>
      <c r="L25" s="113">
        <v>3885</v>
      </c>
      <c r="M25" s="113">
        <v>3885</v>
      </c>
      <c r="N25" s="57">
        <f>SUM(Tabell111314[[#This Row],[Jan]:[Dec]])*0.55*0.2</f>
        <v>5095.420000000001</v>
      </c>
      <c r="O25" t="s">
        <v>188</v>
      </c>
    </row>
    <row r="26" spans="1:19" x14ac:dyDescent="0.25">
      <c r="A26" t="s">
        <v>189</v>
      </c>
      <c r="B26" s="57">
        <v>33624</v>
      </c>
      <c r="C26" s="57">
        <v>33624</v>
      </c>
      <c r="D26" s="57">
        <v>33624</v>
      </c>
      <c r="E26" s="57">
        <v>32249</v>
      </c>
      <c r="F26" s="57">
        <v>32625</v>
      </c>
      <c r="G26" s="57">
        <f>27307+3876+281+1123</f>
        <v>32587</v>
      </c>
      <c r="H26" s="57">
        <v>40405</v>
      </c>
      <c r="I26" s="57">
        <v>34434</v>
      </c>
      <c r="J26" s="57">
        <v>33834</v>
      </c>
      <c r="K26" s="57">
        <v>35588</v>
      </c>
      <c r="L26" s="113">
        <v>35588</v>
      </c>
      <c r="M26" s="113">
        <v>35588</v>
      </c>
      <c r="N26" s="57">
        <f>SUM(Tabell111314[[#This Row],[Jan]:[Dec]])*0.55*0.2</f>
        <v>45514.700000000012</v>
      </c>
    </row>
    <row r="27" spans="1:19" x14ac:dyDescent="0.25">
      <c r="A27" t="s">
        <v>190</v>
      </c>
      <c r="B27" s="57">
        <v>14266</v>
      </c>
      <c r="C27" s="57">
        <v>14266</v>
      </c>
      <c r="D27" s="57">
        <v>14266</v>
      </c>
      <c r="E27" s="57">
        <v>14266</v>
      </c>
      <c r="F27" s="57">
        <v>17716</v>
      </c>
      <c r="G27" s="57">
        <v>14266</v>
      </c>
      <c r="H27" s="57">
        <v>16708</v>
      </c>
      <c r="I27" s="57">
        <v>15114</v>
      </c>
      <c r="J27" s="57">
        <v>14478</v>
      </c>
      <c r="K27" s="57">
        <v>14902</v>
      </c>
      <c r="L27" s="113">
        <v>14902</v>
      </c>
      <c r="M27" s="113">
        <v>14902</v>
      </c>
      <c r="N27" s="57">
        <f>SUM(Tabell111314[[#This Row],[Jan]:[Dec]])*0.55*0.2</f>
        <v>19805.72</v>
      </c>
    </row>
    <row r="28" spans="1:19" x14ac:dyDescent="0.25">
      <c r="A28" t="s">
        <v>194</v>
      </c>
      <c r="B28" s="57">
        <v>15050</v>
      </c>
      <c r="C28" s="57">
        <v>15050</v>
      </c>
      <c r="D28" s="57">
        <v>15050</v>
      </c>
      <c r="E28" s="57">
        <v>15050</v>
      </c>
      <c r="F28" s="57">
        <v>17038</v>
      </c>
      <c r="G28" s="57">
        <v>15050</v>
      </c>
      <c r="H28" s="57">
        <v>16497</v>
      </c>
      <c r="I28" s="57">
        <v>15567</v>
      </c>
      <c r="J28" s="57">
        <v>15179</v>
      </c>
      <c r="K28" s="57">
        <v>15457</v>
      </c>
      <c r="L28" s="113">
        <v>15457</v>
      </c>
      <c r="M28" s="113">
        <v>15457</v>
      </c>
      <c r="N28" s="57">
        <f>SUM(Tabell111314[[#This Row],[Jan]:[Dec]])*0.55*0.2</f>
        <v>20449.22</v>
      </c>
    </row>
    <row r="29" spans="1:19" x14ac:dyDescent="0.25">
      <c r="A29" t="s">
        <v>191</v>
      </c>
      <c r="B29" s="57">
        <v>1806</v>
      </c>
      <c r="C29" s="57">
        <v>1806</v>
      </c>
      <c r="D29" s="57">
        <v>1806</v>
      </c>
      <c r="E29" s="57">
        <v>1806</v>
      </c>
      <c r="F29" s="57">
        <v>1806</v>
      </c>
      <c r="G29" s="57">
        <v>1806</v>
      </c>
      <c r="H29" s="57">
        <v>1806</v>
      </c>
      <c r="I29" s="57">
        <v>-4250</v>
      </c>
      <c r="J29" s="57">
        <v>292</v>
      </c>
      <c r="K29" s="57">
        <v>1806</v>
      </c>
      <c r="L29" s="113">
        <v>1806</v>
      </c>
      <c r="M29" s="113">
        <v>1806</v>
      </c>
      <c r="N29" s="57">
        <f>SUM(Tabell111314[[#This Row],[Jan]:[Dec]])*0.55*0.2</f>
        <v>1551.2200000000003</v>
      </c>
    </row>
    <row r="30" spans="1:19" x14ac:dyDescent="0.25">
      <c r="A30" t="s">
        <v>192</v>
      </c>
      <c r="B30" s="57">
        <v>5748</v>
      </c>
      <c r="C30" s="57">
        <v>5748</v>
      </c>
      <c r="D30" s="57">
        <v>5748</v>
      </c>
      <c r="E30" s="57">
        <v>5748</v>
      </c>
      <c r="F30" s="57">
        <v>5758</v>
      </c>
      <c r="G30" s="57">
        <v>5748</v>
      </c>
      <c r="H30" s="57">
        <v>5748</v>
      </c>
      <c r="I30" s="57">
        <v>-13527</v>
      </c>
      <c r="J30" s="57">
        <v>929</v>
      </c>
      <c r="K30" s="57">
        <v>5748</v>
      </c>
      <c r="L30" s="113">
        <v>5748</v>
      </c>
      <c r="M30" s="113">
        <v>5748</v>
      </c>
      <c r="N30" s="57">
        <f>SUM(Tabell111314[[#This Row],[Jan]:[Dec]])*0.55*0.2</f>
        <v>4938.1200000000008</v>
      </c>
    </row>
    <row r="31" spans="1:19" x14ac:dyDescent="0.25">
      <c r="A31" t="s">
        <v>193</v>
      </c>
      <c r="B31" s="57"/>
      <c r="C31" s="57"/>
      <c r="D31" s="57"/>
      <c r="E31" s="57"/>
      <c r="F31" s="57"/>
      <c r="G31" s="57"/>
      <c r="H31" s="57"/>
      <c r="I31" s="57">
        <v>19275</v>
      </c>
      <c r="J31" s="57">
        <v>4819</v>
      </c>
      <c r="K31" s="57"/>
      <c r="L31" s="113"/>
      <c r="M31" s="113"/>
      <c r="N31" s="57">
        <f>SUM(Tabell111314[[#This Row],[Jan]:[Dec]])*0.55*0.2</f>
        <v>2650.34</v>
      </c>
    </row>
    <row r="32" spans="1:19" x14ac:dyDescent="0.25">
      <c r="A32" s="3" t="s">
        <v>195</v>
      </c>
      <c r="B32" s="69">
        <f t="shared" ref="B32:M32" si="4">SUBTOTAL(109,B24:B31)</f>
        <v>85971</v>
      </c>
      <c r="C32" s="69">
        <f t="shared" si="4"/>
        <v>85971</v>
      </c>
      <c r="D32" s="69">
        <f t="shared" si="4"/>
        <v>85971</v>
      </c>
      <c r="E32" s="69">
        <f t="shared" si="4"/>
        <v>80602</v>
      </c>
      <c r="F32" s="69">
        <f t="shared" si="4"/>
        <v>82694</v>
      </c>
      <c r="G32" s="69">
        <f t="shared" si="4"/>
        <v>81094</v>
      </c>
      <c r="H32" s="69">
        <f t="shared" si="4"/>
        <v>88915</v>
      </c>
      <c r="I32" s="69">
        <f t="shared" si="4"/>
        <v>74364</v>
      </c>
      <c r="J32" s="69">
        <f t="shared" si="4"/>
        <v>81229</v>
      </c>
      <c r="K32" s="69">
        <f t="shared" si="4"/>
        <v>85147</v>
      </c>
      <c r="L32" s="69">
        <f t="shared" si="4"/>
        <v>85147</v>
      </c>
      <c r="M32" s="69">
        <f t="shared" si="4"/>
        <v>85147</v>
      </c>
      <c r="N32" s="69">
        <f>SUM(Tabell111314[[#This Row],[Jan]:[Dec]])*0.55*0.2</f>
        <v>110247.72000000003</v>
      </c>
      <c r="O32" s="114" t="s">
        <v>200</v>
      </c>
    </row>
    <row r="34" spans="13:15" x14ac:dyDescent="0.25">
      <c r="M34" t="s">
        <v>202</v>
      </c>
      <c r="N34" t="s">
        <v>203</v>
      </c>
      <c r="O34" t="s">
        <v>204</v>
      </c>
    </row>
    <row r="35" spans="13:15" x14ac:dyDescent="0.25">
      <c r="N35" s="57">
        <f>P21+N32</f>
        <v>264343.96500000003</v>
      </c>
      <c r="O35" s="57">
        <f>'2020'!$B$9-N35</f>
        <v>228656.03499999997</v>
      </c>
    </row>
  </sheetData>
  <phoneticPr fontId="17" type="noConversion"/>
  <pageMargins left="0.7" right="0.7" top="0.75" bottom="0.75" header="0.3" footer="0.3"/>
  <pageSetup paperSize="9" orientation="portrait" horizontalDpi="0" verticalDpi="0" r:id="rId1"/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11E8AC0AD1ED43BF9E036B22F386F1" ma:contentTypeVersion="3" ma:contentTypeDescription="Skapa ett nytt dokument." ma:contentTypeScope="" ma:versionID="a214e392d998cbb45e0d1fcb640c5b7d">
  <xsd:schema xmlns:xsd="http://www.w3.org/2001/XMLSchema" xmlns:xs="http://www.w3.org/2001/XMLSchema" xmlns:p="http://schemas.microsoft.com/office/2006/metadata/properties" xmlns:ns2="686c9879-2862-43e0-8e0a-417af8de1d20" targetNamespace="http://schemas.microsoft.com/office/2006/metadata/properties" ma:root="true" ma:fieldsID="6495f5871e74dfdfff287a8d2c51109d" ns2:_="">
    <xsd:import namespace="686c9879-2862-43e0-8e0a-417af8de1d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6c9879-2862-43e0-8e0a-417af8de1d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A79E3C-AB5F-4113-91EC-53B1C5C974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A9D468-D8CA-4404-9B63-FA25491973B2}">
  <ds:schemaRefs>
    <ds:schemaRef ds:uri="http://schemas.microsoft.com/office/2006/metadata/properties"/>
    <ds:schemaRef ds:uri="686c9879-2862-43e0-8e0a-417af8de1d20"/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F2F8A8E-579B-4D12-8A31-3CA2C4158C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6c9879-2862-43e0-8e0a-417af8de1d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2020</vt:lpstr>
      <vt:lpstr>Personalkostnader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200l</dc:creator>
  <cp:lastModifiedBy>Kjell Folkesson</cp:lastModifiedBy>
  <cp:lastPrinted>2019-12-06T19:12:46Z</cp:lastPrinted>
  <dcterms:created xsi:type="dcterms:W3CDTF">2018-11-02T12:29:11Z</dcterms:created>
  <dcterms:modified xsi:type="dcterms:W3CDTF">2020-06-12T10:36:23Z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0x010100B411E8AC0AD1ED43BF9E036B22F386F1</vt:lpwstr>
  </property>
</Properties>
</file>